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filterPrivacy="1" codeName="ThisWorkbook" defaultThemeVersion="124226"/>
  <xr:revisionPtr revIDLastSave="0" documentId="8_{9A4ED1F9-C572-4AA7-8584-1EFE5365E64C}" xr6:coauthVersionLast="47" xr6:coauthVersionMax="47" xr10:uidLastSave="{00000000-0000-0000-0000-000000000000}"/>
  <bookViews>
    <workbookView xWindow="-120" yWindow="-120" windowWidth="29040" windowHeight="15840" xr2:uid="{00000000-000D-0000-FFFF-FFFF00000000}"/>
  </bookViews>
  <sheets>
    <sheet name="Guidance" sheetId="1" r:id="rId1"/>
    <sheet name="Uncertainties_estimation" sheetId="2" r:id="rId2"/>
    <sheet name="Uncertainties_sources" sheetId="3" r:id="rId3"/>
  </sheets>
  <definedNames>
    <definedName name="_xlnm.Print_Area" localSheetId="0">Guidance!$A$1:$D$57</definedName>
    <definedName name="_xlnm.Print_Area" localSheetId="1">Uncertainties_estimation!$B$2:$L$68</definedName>
    <definedName name="_xlnm.Print_Area" localSheetId="2">Uncertainties_sources!$B$2:$M$58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64" i="2" l="1"/>
  <c r="I63" i="2"/>
  <c r="F63" i="2"/>
  <c r="E63" i="2"/>
  <c r="D63" i="2"/>
  <c r="C63" i="2"/>
  <c r="B63" i="2"/>
  <c r="D62" i="3" l="1"/>
  <c r="H14" i="3" l="1"/>
  <c r="I33" i="2"/>
  <c r="I32" i="2"/>
  <c r="H23" i="3"/>
  <c r="G23" i="3" s="1"/>
  <c r="G33" i="2" s="1"/>
  <c r="F33" i="2"/>
  <c r="E33" i="2"/>
  <c r="D33" i="2"/>
  <c r="C33" i="2"/>
  <c r="B33" i="2"/>
  <c r="I23" i="3"/>
  <c r="H33" i="2" s="1"/>
  <c r="J33" i="2" l="1"/>
  <c r="K33" i="2" s="1"/>
  <c r="G37" i="3"/>
  <c r="G63" i="2" s="1"/>
  <c r="G34" i="3"/>
  <c r="G28" i="3"/>
  <c r="H36" i="3"/>
  <c r="H33" i="3"/>
  <c r="H16" i="3"/>
  <c r="H32" i="3"/>
  <c r="H35" i="3"/>
  <c r="L33" i="2" l="1"/>
  <c r="J19" i="2"/>
  <c r="B14" i="2" s="1"/>
  <c r="C14" i="2" l="1"/>
  <c r="D14" i="2"/>
  <c r="I62" i="2" l="1"/>
  <c r="I61" i="2"/>
  <c r="I51" i="2"/>
  <c r="I52" i="2"/>
  <c r="I50" i="2"/>
  <c r="I34" i="2"/>
  <c r="I35" i="2"/>
  <c r="I36" i="2"/>
  <c r="I37" i="2"/>
  <c r="I38" i="2"/>
  <c r="I39" i="2"/>
  <c r="I40" i="2"/>
  <c r="I41" i="2"/>
  <c r="I31" i="2"/>
  <c r="H31" i="2"/>
  <c r="F31" i="2"/>
  <c r="E31" i="2"/>
  <c r="D31" i="2"/>
  <c r="C31" i="2"/>
  <c r="B31" i="2"/>
  <c r="G22" i="3" l="1"/>
  <c r="H5" i="3"/>
  <c r="G5" i="3" s="1"/>
  <c r="G23" i="2" s="1"/>
  <c r="G7" i="3"/>
  <c r="G25" i="2" s="1"/>
  <c r="G8" i="3"/>
  <c r="G26" i="2" s="1"/>
  <c r="G13" i="3"/>
  <c r="G46" i="2" s="1"/>
  <c r="G14" i="3"/>
  <c r="G47" i="2" s="1"/>
  <c r="G15" i="3"/>
  <c r="G48" i="2" s="1"/>
  <c r="G16" i="3"/>
  <c r="G56" i="2" s="1"/>
  <c r="G17" i="3"/>
  <c r="G57" i="2" s="1"/>
  <c r="G18" i="3"/>
  <c r="G58" i="2" s="1"/>
  <c r="G19" i="3"/>
  <c r="H12" i="3"/>
  <c r="H11" i="3"/>
  <c r="G11" i="3" s="1"/>
  <c r="G29" i="2" s="1"/>
  <c r="H6" i="3"/>
  <c r="G6" i="3" s="1"/>
  <c r="G24" i="2" s="1"/>
  <c r="G59" i="2" l="1"/>
  <c r="G64" i="2"/>
  <c r="G12" i="3"/>
  <c r="G45" i="2" s="1"/>
  <c r="I6" i="3"/>
  <c r="H24" i="2" s="1"/>
  <c r="I7" i="3"/>
  <c r="H25" i="2" s="1"/>
  <c r="I8" i="3"/>
  <c r="H26" i="2" s="1"/>
  <c r="I9" i="3"/>
  <c r="H27" i="2" s="1"/>
  <c r="I10" i="3"/>
  <c r="H28" i="2" s="1"/>
  <c r="I11" i="3"/>
  <c r="H29" i="2" s="1"/>
  <c r="I12" i="3"/>
  <c r="H45" i="2" s="1"/>
  <c r="I13" i="3"/>
  <c r="H46" i="2" s="1"/>
  <c r="I14" i="3"/>
  <c r="H47" i="2" s="1"/>
  <c r="I15" i="3"/>
  <c r="H48" i="2" s="1"/>
  <c r="I16" i="3"/>
  <c r="H56" i="2" s="1"/>
  <c r="I17" i="3"/>
  <c r="H57" i="2" s="1"/>
  <c r="I18" i="3"/>
  <c r="H58" i="2" s="1"/>
  <c r="I19" i="3"/>
  <c r="I5" i="3"/>
  <c r="H23" i="2" s="1"/>
  <c r="I57" i="2"/>
  <c r="I56" i="2"/>
  <c r="I48" i="2"/>
  <c r="I46" i="2"/>
  <c r="I47" i="2"/>
  <c r="I45" i="2"/>
  <c r="I25" i="2"/>
  <c r="I26" i="2"/>
  <c r="I27" i="2"/>
  <c r="I28" i="2"/>
  <c r="I29" i="2"/>
  <c r="I23" i="2"/>
  <c r="H59" i="2" l="1"/>
  <c r="H64" i="2"/>
  <c r="J57" i="2"/>
  <c r="L57" i="2" s="1"/>
  <c r="J48" i="2"/>
  <c r="L48" i="2" s="1"/>
  <c r="J25" i="2"/>
  <c r="K25" i="2" s="1"/>
  <c r="J45" i="2"/>
  <c r="L45" i="2" s="1"/>
  <c r="J47" i="2"/>
  <c r="L47" i="2" s="1"/>
  <c r="J26" i="2"/>
  <c r="K26" i="2" s="1"/>
  <c r="J29" i="2"/>
  <c r="L29" i="2" s="1"/>
  <c r="J56" i="2"/>
  <c r="K56" i="2" s="1"/>
  <c r="J46" i="2"/>
  <c r="K46" i="2" s="1"/>
  <c r="J23" i="2"/>
  <c r="L23" i="2" s="1"/>
  <c r="L26" i="2" l="1"/>
  <c r="L46" i="2"/>
  <c r="L25" i="2"/>
  <c r="L56" i="2"/>
  <c r="K57" i="2"/>
  <c r="K48" i="2"/>
  <c r="K45" i="2"/>
  <c r="K29" i="2"/>
  <c r="K47" i="2"/>
  <c r="K23" i="2"/>
  <c r="F58" i="3" l="1"/>
  <c r="E58" i="3"/>
  <c r="I59" i="2" s="1"/>
  <c r="F45" i="3"/>
  <c r="E45" i="3"/>
  <c r="I24" i="2" s="1"/>
  <c r="N14" i="2"/>
  <c r="H10" i="3" s="1"/>
  <c r="N12" i="2"/>
  <c r="I58" i="2" l="1"/>
  <c r="J58" i="2" s="1"/>
  <c r="L58" i="2" s="1"/>
  <c r="J59" i="2"/>
  <c r="L59" i="2" s="1"/>
  <c r="H9" i="3"/>
  <c r="G9" i="3" s="1"/>
  <c r="G27" i="2" s="1"/>
  <c r="G10" i="3"/>
  <c r="G28" i="2" s="1"/>
  <c r="J10" i="3"/>
  <c r="J9" i="3"/>
  <c r="J24" i="2"/>
  <c r="K24" i="2" s="1"/>
  <c r="L24" i="2" l="1"/>
  <c r="J28" i="2"/>
  <c r="L28" i="2" s="1"/>
  <c r="J27" i="2"/>
  <c r="L27" i="2" s="1"/>
  <c r="K59" i="2"/>
  <c r="K58" i="2"/>
  <c r="K28" i="2" l="1"/>
  <c r="K27" i="2"/>
  <c r="G24" i="3" l="1"/>
  <c r="H21" i="3" l="1"/>
  <c r="G29" i="3"/>
  <c r="J24" i="3" l="1"/>
  <c r="B7" i="2" l="1"/>
  <c r="B61" i="2" l="1"/>
  <c r="H24" i="3" l="1"/>
  <c r="G25" i="3"/>
  <c r="C61" i="2"/>
  <c r="F61" i="2"/>
  <c r="E61" i="2"/>
  <c r="D61" i="2"/>
  <c r="I35" i="3"/>
  <c r="H61" i="2" s="1"/>
  <c r="G35" i="3"/>
  <c r="G61" i="2" s="1"/>
  <c r="J61" i="2" l="1"/>
  <c r="L61" i="2" s="1"/>
  <c r="K61" i="2" l="1"/>
  <c r="F32" i="2"/>
  <c r="F34" i="2"/>
  <c r="F35" i="2"/>
  <c r="F36" i="2"/>
  <c r="F37" i="2"/>
  <c r="G37" i="2"/>
  <c r="G31" i="3"/>
  <c r="G34" i="2"/>
  <c r="G35" i="2"/>
  <c r="H37" i="3" l="1"/>
  <c r="H34" i="3"/>
  <c r="H29" i="3"/>
  <c r="H30" i="3"/>
  <c r="H31" i="3"/>
  <c r="H28" i="3"/>
  <c r="H27" i="3"/>
  <c r="H25" i="3"/>
  <c r="G26" i="3"/>
  <c r="G36" i="2" s="1"/>
  <c r="G36" i="3"/>
  <c r="G33" i="3"/>
  <c r="G32" i="3"/>
  <c r="G21" i="3"/>
  <c r="G31" i="2" s="1"/>
  <c r="J31" i="2" s="1"/>
  <c r="K31" i="2" l="1"/>
  <c r="L31" i="2"/>
  <c r="H22" i="3"/>
  <c r="G32" i="2"/>
  <c r="P5" i="3" l="1"/>
  <c r="G50" i="2" l="1"/>
  <c r="G52" i="2"/>
  <c r="G39" i="2"/>
  <c r="G38" i="2"/>
  <c r="N10" i="3"/>
  <c r="N8" i="3"/>
  <c r="N6" i="3"/>
  <c r="E64" i="2"/>
  <c r="D64" i="2"/>
  <c r="F62" i="2"/>
  <c r="E62" i="2"/>
  <c r="D62" i="2"/>
  <c r="C62" i="2"/>
  <c r="B62" i="2"/>
  <c r="F52" i="2"/>
  <c r="E52" i="2"/>
  <c r="D52" i="2"/>
  <c r="C52" i="2"/>
  <c r="B52" i="2"/>
  <c r="F51" i="2"/>
  <c r="E51" i="2"/>
  <c r="D51" i="2"/>
  <c r="C51" i="2"/>
  <c r="B51" i="2"/>
  <c r="F50" i="2"/>
  <c r="E50" i="2"/>
  <c r="D50" i="2"/>
  <c r="C50" i="2"/>
  <c r="B50" i="2"/>
  <c r="G41" i="2"/>
  <c r="F41" i="2"/>
  <c r="E41" i="2"/>
  <c r="D41" i="2"/>
  <c r="C41" i="2"/>
  <c r="B41" i="2"/>
  <c r="G40" i="2"/>
  <c r="F40" i="2"/>
  <c r="E40" i="2"/>
  <c r="D40" i="2"/>
  <c r="C40" i="2"/>
  <c r="B40" i="2"/>
  <c r="F39" i="2"/>
  <c r="E39" i="2"/>
  <c r="D39" i="2"/>
  <c r="C39" i="2"/>
  <c r="B39" i="2"/>
  <c r="F38" i="2"/>
  <c r="E38" i="2"/>
  <c r="D38" i="2"/>
  <c r="C38" i="2"/>
  <c r="B38" i="2"/>
  <c r="E37" i="2"/>
  <c r="D37" i="2"/>
  <c r="C37" i="2"/>
  <c r="B37" i="2"/>
  <c r="E36" i="2"/>
  <c r="D36" i="2"/>
  <c r="C36" i="2"/>
  <c r="B36" i="2"/>
  <c r="E35" i="2"/>
  <c r="D35" i="2"/>
  <c r="C35" i="2"/>
  <c r="B35" i="2"/>
  <c r="E34" i="2"/>
  <c r="D34" i="2"/>
  <c r="C34" i="2"/>
  <c r="B34" i="2"/>
  <c r="E32" i="2"/>
  <c r="D32" i="2"/>
  <c r="C32" i="2"/>
  <c r="B32" i="2"/>
  <c r="I37" i="3"/>
  <c r="H63" i="2" s="1"/>
  <c r="J63" i="2" s="1"/>
  <c r="I36" i="3"/>
  <c r="H62" i="2" s="1"/>
  <c r="G62" i="2"/>
  <c r="I34" i="3"/>
  <c r="H52" i="2" s="1"/>
  <c r="I33" i="3"/>
  <c r="H51" i="2" s="1"/>
  <c r="G51" i="2"/>
  <c r="I32" i="3"/>
  <c r="H50" i="2" s="1"/>
  <c r="H41" i="2"/>
  <c r="I30" i="3"/>
  <c r="H40" i="2" s="1"/>
  <c r="I29" i="3"/>
  <c r="H39" i="2" s="1"/>
  <c r="I28" i="3"/>
  <c r="H38" i="2" s="1"/>
  <c r="I27" i="3"/>
  <c r="H37" i="2" s="1"/>
  <c r="I26" i="3"/>
  <c r="H36" i="2" s="1"/>
  <c r="I25" i="3"/>
  <c r="H35" i="2" s="1"/>
  <c r="I24" i="3"/>
  <c r="H34" i="2" s="1"/>
  <c r="I22" i="3"/>
  <c r="H32" i="2" s="1"/>
  <c r="B8" i="2"/>
  <c r="B6" i="2"/>
  <c r="K63" i="2" l="1"/>
  <c r="L63" i="2"/>
  <c r="J36" i="2"/>
  <c r="K36" i="2" s="1"/>
  <c r="J32" i="2"/>
  <c r="K32" i="2" s="1"/>
  <c r="J37" i="2"/>
  <c r="K37" i="2" s="1"/>
  <c r="J34" i="2"/>
  <c r="K34" i="2" s="1"/>
  <c r="J35" i="2"/>
  <c r="K35" i="2" s="1"/>
  <c r="J40" i="2"/>
  <c r="L40" i="2" s="1"/>
  <c r="J51" i="2"/>
  <c r="L51" i="2" s="1"/>
  <c r="J38" i="2"/>
  <c r="L38" i="2" s="1"/>
  <c r="J41" i="2"/>
  <c r="L41" i="2" s="1"/>
  <c r="J52" i="2"/>
  <c r="L52" i="2" s="1"/>
  <c r="J50" i="2"/>
  <c r="L50" i="2" s="1"/>
  <c r="J64" i="2"/>
  <c r="L64" i="2" s="1"/>
  <c r="J39" i="2"/>
  <c r="L39" i="2" s="1"/>
  <c r="J62" i="2"/>
  <c r="L62" i="2" s="1"/>
  <c r="L35" i="2" l="1"/>
  <c r="L36" i="2"/>
  <c r="L34" i="2"/>
  <c r="L32" i="2"/>
  <c r="L53" i="2"/>
  <c r="L37" i="2"/>
  <c r="L65" i="2"/>
  <c r="K64" i="2"/>
  <c r="K62" i="2"/>
  <c r="K41" i="2"/>
  <c r="K38" i="2"/>
  <c r="K50" i="2"/>
  <c r="K51" i="2"/>
  <c r="K39" i="2"/>
  <c r="K52" i="2"/>
  <c r="K40" i="2"/>
  <c r="L42" i="2" l="1"/>
  <c r="K65" i="2"/>
  <c r="C8" i="2" s="1"/>
  <c r="D8" i="2" s="1"/>
  <c r="K53" i="2"/>
  <c r="C7" i="2" s="1"/>
  <c r="D7" i="2" s="1"/>
  <c r="K42" i="2"/>
  <c r="C6" i="2" s="1"/>
  <c r="D6" i="2" s="1"/>
  <c r="D9" i="2" l="1"/>
  <c r="L68" i="2" s="1"/>
  <c r="D10" i="2" l="1"/>
  <c r="D11" i="2" s="1"/>
  <c r="D12" i="2" s="1"/>
  <c r="D13" i="2" s="1"/>
</calcChain>
</file>

<file path=xl/sharedStrings.xml><?xml version="1.0" encoding="utf-8"?>
<sst xmlns="http://schemas.openxmlformats.org/spreadsheetml/2006/main" count="502" uniqueCount="208">
  <si>
    <t>INTERNATIONAL ELECTROTECHNICAL COMMISSION</t>
  </si>
  <si>
    <t>Introduction</t>
  </si>
  <si>
    <t>Overview</t>
  </si>
  <si>
    <t>This workbook consists of the following 3 worksheets:</t>
  </si>
  <si>
    <t>Guidance</t>
  </si>
  <si>
    <t>Uncertainties estimation</t>
  </si>
  <si>
    <t>Uncertainties sources</t>
  </si>
  <si>
    <t>Initialisation</t>
  </si>
  <si>
    <t>Notes related to this version of the document</t>
  </si>
  <si>
    <t>Limitations / Known issues:</t>
  </si>
  <si>
    <t>Disclaimer</t>
  </si>
  <si>
    <t>Measurement Conditions :</t>
  </si>
  <si>
    <t>Method:</t>
  </si>
  <si>
    <t>Type of connectors:</t>
  </si>
  <si>
    <t>Number of OPM used:</t>
  </si>
  <si>
    <t>Source wavelength:</t>
  </si>
  <si>
    <t>nm</t>
  </si>
  <si>
    <t>Uncertainty of wavelength knowledge:</t>
  </si>
  <si>
    <t>Measured attenuation:</t>
  </si>
  <si>
    <t>dB</t>
  </si>
  <si>
    <r>
      <t>U(Att</t>
    </r>
    <r>
      <rPr>
        <vertAlign val="subscript"/>
        <sz val="10"/>
        <color rgb="FF000000"/>
        <rFont val="Arial"/>
        <family val="2"/>
      </rPr>
      <t>DUT</t>
    </r>
    <r>
      <rPr>
        <sz val="10"/>
        <color rgb="FF000000"/>
        <rFont val="Arial"/>
        <family val="2"/>
      </rPr>
      <t>)</t>
    </r>
  </si>
  <si>
    <t>Source output power:</t>
  </si>
  <si>
    <t>dBm</t>
  </si>
  <si>
    <t>%</t>
  </si>
  <si>
    <t xml:space="preserve"> </t>
  </si>
  <si>
    <t>Uncertainties due to measuring instruments</t>
  </si>
  <si>
    <t>Source of uncertainty</t>
  </si>
  <si>
    <t>Standard 
uncertainty
component u(xi)</t>
  </si>
  <si>
    <t>Type of uncertainty</t>
  </si>
  <si>
    <t>Units</t>
  </si>
  <si>
    <t>Dist. 
(n sigma)</t>
  </si>
  <si>
    <t>U (%)</t>
  </si>
  <si>
    <t>Reference</t>
  </si>
  <si>
    <t>Comments</t>
  </si>
  <si>
    <t>B</t>
  </si>
  <si>
    <t>Rectangular (1)</t>
  </si>
  <si>
    <t>Normal (2)</t>
  </si>
  <si>
    <t>Turned to 0 if "J6"=2; See note 1</t>
  </si>
  <si>
    <t>0 it is assumed note 2 apply all time</t>
  </si>
  <si>
    <t>B or A</t>
  </si>
  <si>
    <t>5.2.5.1</t>
  </si>
  <si>
    <t>5.2.5.3</t>
  </si>
  <si>
    <t>5.2.5.4</t>
  </si>
  <si>
    <t>5.2.5.5</t>
  </si>
  <si>
    <t>5.2.5.6</t>
  </si>
  <si>
    <t>5.2.6.7</t>
  </si>
  <si>
    <t>5.2.5.8</t>
  </si>
  <si>
    <t>5.2.5.9</t>
  </si>
  <si>
    <t>5.2.5.10</t>
  </si>
  <si>
    <t>5.2.6.1</t>
  </si>
  <si>
    <t>5.2.6.2</t>
  </si>
  <si>
    <t>5.2.6.3</t>
  </si>
  <si>
    <t>5.2.7.1</t>
  </si>
  <si>
    <t>5.2.7.2</t>
  </si>
  <si>
    <t>Valid measurement conditions:</t>
  </si>
  <si>
    <t>See C.2.4</t>
  </si>
  <si>
    <t>See C.2.6</t>
  </si>
  <si>
    <t>Domain (nm)</t>
  </si>
  <si>
    <t>a0</t>
  </si>
  <si>
    <t>a1</t>
  </si>
  <si>
    <t>a2</t>
  </si>
  <si>
    <t>a3</t>
  </si>
  <si>
    <t>a4</t>
  </si>
  <si>
    <t>a5</t>
  </si>
  <si>
    <t>a6</t>
  </si>
  <si>
    <t>MM A1</t>
  </si>
  <si>
    <t>800 to 1350 nm</t>
  </si>
  <si>
    <t>SM B1.3</t>
  </si>
  <si>
    <t>1285 to 1385 nm</t>
  </si>
  <si>
    <t>1385 to 1675 nm</t>
  </si>
  <si>
    <t>km</t>
  </si>
  <si>
    <t>0.01 dB APC; 0.005 dB PC</t>
  </si>
  <si>
    <t>See C.2.2 100 pW noise</t>
  </si>
  <si>
    <t>Sensitivity coefficient ci</t>
  </si>
  <si>
    <t>n</t>
  </si>
  <si>
    <t>Distr. 
Coeff.</t>
  </si>
  <si>
    <t>0.2 dB if "J6"=2. See note 3</t>
  </si>
  <si>
    <t>Effective degrees of freedom</t>
  </si>
  <si>
    <r>
      <rPr>
        <sz val="10"/>
        <color rgb="FF000080"/>
        <rFont val="Symbol"/>
        <family val="1"/>
        <charset val="2"/>
      </rPr>
      <t>n</t>
    </r>
    <r>
      <rPr>
        <vertAlign val="subscript"/>
        <sz val="10"/>
        <color rgb="FF000080"/>
        <rFont val="Arial"/>
        <family val="2"/>
      </rPr>
      <t>eff</t>
    </r>
  </si>
  <si>
    <t>5.2.7.3</t>
  </si>
  <si>
    <t>0.005 dB</t>
  </si>
  <si>
    <r>
      <t xml:space="preserve">Exp factor k, if </t>
    </r>
    <r>
      <rPr>
        <b/>
        <sz val="10"/>
        <color rgb="FF000000"/>
        <rFont val="Symbol"/>
        <family val="1"/>
        <charset val="2"/>
      </rPr>
      <t>n</t>
    </r>
    <r>
      <rPr>
        <b/>
        <vertAlign val="subscript"/>
        <sz val="10"/>
        <color rgb="FF000000"/>
        <rFont val="Arial"/>
        <family val="2"/>
      </rPr>
      <t>eff</t>
    </r>
    <r>
      <rPr>
        <b/>
        <sz val="10"/>
        <color rgb="FF000000"/>
        <rFont val="Arial"/>
        <family val="2"/>
      </rPr>
      <t xml:space="preserve"> &lt;50 k = Student's t for </t>
    </r>
    <r>
      <rPr>
        <b/>
        <sz val="10"/>
        <color rgb="FF000000"/>
        <rFont val="Symbol"/>
        <family val="1"/>
        <charset val="2"/>
      </rPr>
      <t>n</t>
    </r>
    <r>
      <rPr>
        <b/>
        <vertAlign val="subscript"/>
        <sz val="10"/>
        <color rgb="FF000000"/>
        <rFont val="Arial"/>
        <family val="2"/>
      </rPr>
      <t xml:space="preserve">eff </t>
    </r>
    <r>
      <rPr>
        <b/>
        <sz val="10"/>
        <color rgb="FF000000"/>
        <rFont val="Arial"/>
        <family val="2"/>
      </rPr>
      <t>and CL 95% otherwise k=2</t>
    </r>
  </si>
  <si>
    <t>0.018 dB if applicable. C.2.7 &amp; note 4</t>
  </si>
  <si>
    <t>This worksheet provides guidance on the use of the workbook.</t>
  </si>
  <si>
    <t>It shall be configured to estimate the measurement uncertainties (see Item 3).</t>
  </si>
  <si>
    <t>This worksheet provides the calculation of uncertainties as described in IEC 61282-14 (Cells "D12" and "D13").</t>
  </si>
  <si>
    <t>Uncertainty of wavelength knowledge: Enter the uncertainty associated with the source wavelength.</t>
  </si>
  <si>
    <t>Measured attenuation: Enter the range of measured attenuation in dB (important for multimode fibre).</t>
  </si>
  <si>
    <t>Fiber length: Enter the estimated length of fibre.</t>
  </si>
  <si>
    <t>The IEC disclaims liability for any personal injury, property or other damages of any nature whatsoever, whether special, indirect, consequential or compensatory, directly or indirectly resulting from this software and the document upon which its methods are based, used for, or relied upon.</t>
  </si>
  <si>
    <t xml:space="preserve">Relative uncertainty arising from the instability of the optical source </t>
  </si>
  <si>
    <t>Relative uncertainty due to the multimode launch condition</t>
  </si>
  <si>
    <t>Relative uncertainty arising from the non-linearity of the power meter</t>
  </si>
  <si>
    <t xml:space="preserve">Relative uncertainty arising from the finite display resolution of power meter </t>
  </si>
  <si>
    <t xml:space="preserve">Relative uncertainty arising from power meter spatial sensitivity. </t>
  </si>
  <si>
    <t xml:space="preserve">Relative uncertainty arising from the polarization dependency of power meter </t>
  </si>
  <si>
    <t xml:space="preserve">Relative uncertainty arising from power meter noise </t>
  </si>
  <si>
    <t>Relative uncertainty arising from power meter instability</t>
  </si>
  <si>
    <t xml:space="preserve">Relative uncertainties of the absolute power measurements </t>
  </si>
  <si>
    <t>Relative uncertainties due to mating reproducibility</t>
  </si>
  <si>
    <t>Relative uncertainty related to the PDL of the cabling APC connectors</t>
  </si>
  <si>
    <t>Relative uncertainty arising from power meter spatial sensitivity</t>
  </si>
  <si>
    <r>
      <t>u(x</t>
    </r>
    <r>
      <rPr>
        <b/>
        <i/>
        <vertAlign val="subscript"/>
        <sz val="10"/>
        <color rgb="FF000080"/>
        <rFont val="Arial"/>
        <family val="2"/>
      </rPr>
      <t>i</t>
    </r>
    <r>
      <rPr>
        <b/>
        <i/>
        <sz val="10"/>
        <color rgb="FF000080"/>
        <rFont val="Arial"/>
        <family val="2"/>
      </rPr>
      <t>)</t>
    </r>
  </si>
  <si>
    <r>
      <t>(</t>
    </r>
    <r>
      <rPr>
        <b/>
        <i/>
        <sz val="10"/>
        <color rgb="FF000080"/>
        <rFont val="Arial"/>
        <family val="2"/>
      </rPr>
      <t>u(xi)</t>
    </r>
    <r>
      <rPr>
        <b/>
        <sz val="10"/>
        <color rgb="FF000080"/>
        <rFont val="Arial"/>
        <family val="2"/>
      </rPr>
      <t>)</t>
    </r>
    <r>
      <rPr>
        <b/>
        <vertAlign val="superscript"/>
        <sz val="10"/>
        <color rgb="FF000080"/>
        <rFont val="Arial"/>
        <family val="2"/>
      </rPr>
      <t>2</t>
    </r>
  </si>
  <si>
    <r>
      <t xml:space="preserve">(ci </t>
    </r>
    <r>
      <rPr>
        <b/>
        <i/>
        <sz val="10"/>
        <color rgb="FF000080"/>
        <rFont val="Arial"/>
        <family val="2"/>
      </rPr>
      <t>u(xi)</t>
    </r>
    <r>
      <rPr>
        <b/>
        <sz val="10"/>
        <color rgb="FF000080"/>
        <rFont val="Arial"/>
        <family val="2"/>
      </rPr>
      <t>)</t>
    </r>
    <r>
      <rPr>
        <b/>
        <vertAlign val="superscript"/>
        <sz val="10"/>
        <color rgb="FF000080"/>
        <rFont val="Arial"/>
        <family val="2"/>
      </rPr>
      <t>4</t>
    </r>
    <r>
      <rPr>
        <b/>
        <sz val="10"/>
        <color rgb="FF000080"/>
        <rFont val="Arial"/>
        <family val="2"/>
      </rPr>
      <t>/</t>
    </r>
    <r>
      <rPr>
        <b/>
        <sz val="10"/>
        <color rgb="FF000080"/>
        <rFont val="Symbol"/>
        <family val="1"/>
        <charset val="2"/>
      </rPr>
      <t>n</t>
    </r>
    <r>
      <rPr>
        <b/>
        <sz val="10"/>
        <color rgb="FF000080"/>
        <rFont val="Arial"/>
        <family val="2"/>
      </rPr>
      <t>i</t>
    </r>
  </si>
  <si>
    <r>
      <t>u</t>
    </r>
    <r>
      <rPr>
        <b/>
        <i/>
        <vertAlign val="subscript"/>
        <sz val="10"/>
        <color rgb="FF000080"/>
        <rFont val="Arial"/>
        <family val="2"/>
      </rPr>
      <t>i</t>
    </r>
  </si>
  <si>
    <r>
      <t>(</t>
    </r>
    <r>
      <rPr>
        <b/>
        <i/>
        <sz val="10"/>
        <color rgb="FF000080"/>
        <rFont val="Arial"/>
        <family val="2"/>
      </rPr>
      <t>u</t>
    </r>
    <r>
      <rPr>
        <b/>
        <i/>
        <vertAlign val="subscript"/>
        <sz val="10"/>
        <color rgb="FF000080"/>
        <rFont val="Arial"/>
        <family val="2"/>
      </rPr>
      <t>i</t>
    </r>
    <r>
      <rPr>
        <b/>
        <sz val="10"/>
        <color rgb="FF000080"/>
        <rFont val="Arial"/>
        <family val="2"/>
      </rPr>
      <t>)</t>
    </r>
    <r>
      <rPr>
        <b/>
        <vertAlign val="superscript"/>
        <sz val="10"/>
        <color rgb="FF000080"/>
        <rFont val="Arial"/>
        <family val="2"/>
      </rPr>
      <t>2</t>
    </r>
  </si>
  <si>
    <t>Relative uncertainty due to the setup</t>
  </si>
  <si>
    <t>Relative uncertainties due to cabling</t>
  </si>
  <si>
    <t>Total relative uncertainty</t>
  </si>
  <si>
    <t>Fibre length:</t>
  </si>
  <si>
    <r>
      <t>u</t>
    </r>
    <r>
      <rPr>
        <sz val="10"/>
        <color rgb="FF000000"/>
        <rFont val="Arial"/>
        <family val="2"/>
      </rPr>
      <t>(Att</t>
    </r>
    <r>
      <rPr>
        <vertAlign val="subscript"/>
        <sz val="10"/>
        <color rgb="FF000000"/>
        <rFont val="Arial"/>
        <family val="2"/>
      </rPr>
      <t>DUT</t>
    </r>
    <r>
      <rPr>
        <sz val="10"/>
        <color rgb="FF000000"/>
        <rFont val="Arial"/>
        <family val="2"/>
      </rPr>
      <t>)</t>
    </r>
  </si>
  <si>
    <t>This worksheet shall not be altered.</t>
  </si>
  <si>
    <t>Assume two times Equ C2 is used.</t>
  </si>
  <si>
    <t>Relative uncertainty related to the repeatability of the test cord connector mating.</t>
  </si>
  <si>
    <t>Relative uncertainty related to the PDL of the test cord APC connectors.</t>
  </si>
  <si>
    <t>Relative uncertainty related to the repeatability of the test cord connector mating to cabling connectors</t>
  </si>
  <si>
    <t>Relative uncertainty related to the repeatability of the test cord connector mating</t>
  </si>
  <si>
    <t>Relative uncertainty related to the PDL of the test cord APC connectors</t>
  </si>
  <si>
    <t>OTDR, Dynamic margin:</t>
  </si>
  <si>
    <t>Noise amplitude (pk to pk)</t>
  </si>
  <si>
    <t>OTDR, Regression length:</t>
  </si>
  <si>
    <t>m</t>
  </si>
  <si>
    <t>OTDR, Distance between points:</t>
  </si>
  <si>
    <t>Number of regression points</t>
  </si>
  <si>
    <t>Uncertainty arising from the uncertainty of the OTDR wavelength and the fibre wavelength dependence</t>
  </si>
  <si>
    <t>Uncertainty arising from the uncertainty of the OTDR wavelength and the PON splitter wavelength dependence</t>
  </si>
  <si>
    <t>Relative uncertainty arising from the non-linearity of the OTDR.</t>
  </si>
  <si>
    <t>Relative uncertainty arising from the finite display resolution of OTDR</t>
  </si>
  <si>
    <t>Relative uncertainty arising from OTDR noise. (tail regression)</t>
  </si>
  <si>
    <t>A or B</t>
  </si>
  <si>
    <t>Relative uncertainty arising from OTDR noise. (launch regression)</t>
  </si>
  <si>
    <t xml:space="preserve">Relative uncertainty arising from OTDR cursors placement. </t>
  </si>
  <si>
    <t>Relative attenuation uncertainty arising from the remaining difference of backscatter coefficient between the lunch and the tail cable</t>
  </si>
  <si>
    <t>Relative attenuation uncertainty arising from the difference of backscatter coefficient</t>
  </si>
  <si>
    <t>Mating reproducibility (setup)</t>
  </si>
  <si>
    <t>Relative uncertainty related to the PDL of the cabling splitter</t>
  </si>
  <si>
    <t>Number of spliters:</t>
  </si>
  <si>
    <t>Method A</t>
  </si>
  <si>
    <t>Method B</t>
  </si>
  <si>
    <t>OTDR</t>
  </si>
  <si>
    <t>LSPM</t>
  </si>
  <si>
    <t>Method C</t>
  </si>
  <si>
    <t>Determination of the uncertainties of the attenuation 
measurements on PON</t>
  </si>
  <si>
    <t>E.1.1 a</t>
  </si>
  <si>
    <t>E.1.1 b</t>
  </si>
  <si>
    <t>E.1.2</t>
  </si>
  <si>
    <t>E.1.3</t>
  </si>
  <si>
    <t>E.1.4 a</t>
  </si>
  <si>
    <t>E.1.4 b</t>
  </si>
  <si>
    <t>E.1.5</t>
  </si>
  <si>
    <t>E.2.1</t>
  </si>
  <si>
    <t>E.2.2</t>
  </si>
  <si>
    <t>E.2.3</t>
  </si>
  <si>
    <t>E.2.4</t>
  </si>
  <si>
    <t>E.3.1</t>
  </si>
  <si>
    <t>E.3.2</t>
  </si>
  <si>
    <t>E.3.3</t>
  </si>
  <si>
    <t>E.3.4</t>
  </si>
  <si>
    <t>E1.1 a</t>
  </si>
  <si>
    <t>This workbook provides a tool for estimating measurement uncertainties as described in IEC 61280-4-2 and IEC TR 61282-14.</t>
  </si>
  <si>
    <t>The tool and its instructions presume that the user has a basic understanding of IEC 61280-4-3, IEC TR 61282-14 and Microsoft Excel.</t>
  </si>
  <si>
    <t>This worksheet provides uncertainties calculation as described in IEC 61282-14 (Cells "D12" and "D13") when method A is selected.</t>
  </si>
  <si>
    <t>This worksheet provides uncertainties calculation as described in IEC 61280-4-3 (Cells "D12" , "D13" and "D14" for method C) when Method B or C are selected.</t>
  </si>
  <si>
    <t>- Uncertainties values are default values provided as examples (see comments and table E.1 to E.3)</t>
  </si>
  <si>
    <t>- For method A:</t>
  </si>
  <si>
    <t xml:space="preserve">  * OPM noise level is set to 100 pW (fixed value).</t>
  </si>
  <si>
    <t>- For Methods B or C:</t>
  </si>
  <si>
    <t xml:space="preserve">  * Same type of connector shall be used. Note b) of IEC TR 61282-14 Clause 7, Tables 5 and 6, always applies.</t>
  </si>
  <si>
    <t>- Splitters are supposed to use PLC technology .</t>
  </si>
  <si>
    <t xml:space="preserve">  * Same type of connector shall be used</t>
  </si>
  <si>
    <t xml:space="preserve">  * Distance between data points is supposed to be constant.</t>
  </si>
  <si>
    <t>Number of splitters: Enter the number of splitters on the network (1 or 2)</t>
  </si>
  <si>
    <t>For method B or C*: OTDR, Dynamic margin:  Enter the dynamic margin observed when measuring. The dynamic margin shall be positive.</t>
  </si>
  <si>
    <t>For method A*: Number of OPM used: Select "1" if the same OPM is used for reference and attenuation measurement; otherwise select "2".</t>
  </si>
  <si>
    <t>For method A*: Source output power: Enter the typical power level of the source.</t>
  </si>
  <si>
    <t>For method B or C*: OTDR, Regression length: Enter the length of the regression. The two regressions are supposed to have the same length. If not enter the shorter length.</t>
  </si>
  <si>
    <t>For method B or C*: OTDR, Distance between points: Enter the distance between data points</t>
  </si>
  <si>
    <t>See E.5.1</t>
  </si>
  <si>
    <t>See E.7</t>
  </si>
  <si>
    <t>See E.6</t>
  </si>
  <si>
    <t>See E.8</t>
  </si>
  <si>
    <t>See E.9</t>
  </si>
  <si>
    <t>This worksheet reproduces Table E.5, values and IEC TR 61282-14 data.</t>
  </si>
  <si>
    <t>* NOTE: Depending on measurement method selected unused intitialisation data are not visible.</t>
  </si>
  <si>
    <t>See E.5.2 and 61282-14</t>
  </si>
  <si>
    <t>From
 IEC 61280-4-3 Annex E</t>
  </si>
  <si>
    <t>Type of connector:  Indicate if the connectors are reference grade R1, R2 or not, and angled or not (R1-APC, R2-APC APC or R1-PC, R2-PC, PC).</t>
  </si>
  <si>
    <t>Source wavelength: Enter the source wavelength in nm (range 1250 to 1670 nm). Enter the exact value if this value is known.</t>
  </si>
  <si>
    <t>0.1 dB, 0.2 dB  ref. grade connector or 0.75 dB</t>
  </si>
  <si>
    <t>0.1 dB, 0,2 dB ref. grade connector or 0.75 dB</t>
  </si>
  <si>
    <t>Please setup measurement conditions (Worksheet "Uncertainties estimation" cells J5 to J17).</t>
  </si>
  <si>
    <r>
      <t>For method A*: Source output power instability: Enter the instability of the source at 2</t>
    </r>
    <r>
      <rPr>
        <sz val="10"/>
        <rFont val="Symbol"/>
        <family val="1"/>
        <charset val="2"/>
      </rPr>
      <t>s</t>
    </r>
    <r>
      <rPr>
        <sz val="10"/>
        <rFont val="Arial"/>
        <family val="2"/>
      </rPr>
      <t xml:space="preserve"> (report to table D1 for advice)</t>
    </r>
  </si>
  <si>
    <t>5.2.5.2a</t>
  </si>
  <si>
    <t>5.2.5.2b</t>
  </si>
  <si>
    <t>Relative attenuation uncertainty arising from the uncertainty of the optical source wavelength and the fibre wavelength dependence</t>
  </si>
  <si>
    <t>Relative attenuation uncertainty arising from the uncertainty of the optical source wavelength  and the PON splitter wavelength dependence</t>
  </si>
  <si>
    <t>See E.6 61280-4-3</t>
  </si>
  <si>
    <t>From
 IEC TR 61282-14</t>
  </si>
  <si>
    <t>R2-APC</t>
  </si>
  <si>
    <t>Source output power instability:</t>
  </si>
  <si>
    <t>See Table E.3</t>
  </si>
  <si>
    <t>See Table E.2</t>
  </si>
  <si>
    <t>OTDR dB scale resolution set to 0,001 dB</t>
  </si>
  <si>
    <t>Sensitivity coefficients (ci)</t>
  </si>
  <si>
    <t>IEC 61280-4-3 Ed1 Supplemental Data</t>
  </si>
  <si>
    <t>Version: Ed 1</t>
  </si>
  <si>
    <t xml:space="preserve">  * Effect of asymmetrical noise is not considered. However a warning is shown for dynamic marging lower that 2.6 dB and calculation stops for dynamic marging lower that 0.55 dB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</si>
</sst>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_-;\-* #,##0.00\ _€_-;_-* &quot;-&quot;??\ _€_-;_-@_-"/>
    <numFmt numFmtId="165" formatCode="0.0000"/>
    <numFmt numFmtId="166" formatCode="0.000"/>
    <numFmt numFmtId="167" formatCode="0.000%"/>
    <numFmt numFmtId="168" formatCode="0.0E+00"/>
    <numFmt numFmtId="169" formatCode="0.0%"/>
    <numFmt numFmtId="170" formatCode="0.E+00"/>
    <numFmt numFmtId="171" formatCode="_-* #,##0.000\ _€_-;\-* #,##0.000\ _€_-;_-* &quot;-&quot;??\ _€_-;_-@_-"/>
    <numFmt numFmtId="172" formatCode="0.0"/>
  </numFmts>
  <fonts count="34" x14ac:knownFonts="1">
    <font>
      <sz val="10"/>
      <color rgb="FF000000"/>
      <name val="Arial"/>
      <family val="2"/>
    </font>
    <font>
      <sz val="10"/>
      <color rgb="FF000000"/>
      <name val="Arial"/>
      <family val="2"/>
    </font>
    <font>
      <sz val="11"/>
      <color rgb="FFFF0000"/>
      <name val="Calibri"/>
      <family val="2"/>
    </font>
    <font>
      <b/>
      <sz val="11"/>
      <color rgb="FF000000"/>
      <name val="Arial"/>
      <family val="2"/>
    </font>
    <font>
      <b/>
      <sz val="10"/>
      <color rgb="FF000000"/>
      <name val="Arial"/>
      <family val="2"/>
    </font>
    <font>
      <u/>
      <sz val="10"/>
      <color rgb="FF000000"/>
      <name val="Arial"/>
      <family val="2"/>
    </font>
    <font>
      <sz val="10"/>
      <color rgb="FF000080"/>
      <name val="Arial"/>
      <family val="2"/>
    </font>
    <font>
      <i/>
      <sz val="10"/>
      <color rgb="FF000080"/>
      <name val="Arial"/>
      <family val="2"/>
    </font>
    <font>
      <i/>
      <sz val="10"/>
      <color rgb="FF000000"/>
      <name val="Arial"/>
      <family val="2"/>
    </font>
    <font>
      <vertAlign val="subscript"/>
      <sz val="10"/>
      <color rgb="FF000000"/>
      <name val="Arial"/>
      <family val="2"/>
    </font>
    <font>
      <b/>
      <sz val="10"/>
      <color rgb="FF0000FF"/>
      <name val="Arial"/>
      <family val="2"/>
    </font>
    <font>
      <b/>
      <sz val="10"/>
      <color rgb="FF0070C0"/>
      <name val="Arial"/>
      <family val="2"/>
    </font>
    <font>
      <b/>
      <u/>
      <sz val="10"/>
      <color rgb="FF000000"/>
      <name val="Arial"/>
      <family val="2"/>
    </font>
    <font>
      <b/>
      <sz val="10"/>
      <color rgb="FF000080"/>
      <name val="Arial"/>
      <family val="2"/>
    </font>
    <font>
      <sz val="10"/>
      <color theme="0"/>
      <name val="Arial"/>
      <family val="2"/>
    </font>
    <font>
      <b/>
      <sz val="10"/>
      <color theme="0"/>
      <name val="Arial"/>
      <family val="2"/>
    </font>
    <font>
      <sz val="8"/>
      <color theme="0"/>
      <name val="Arial"/>
      <family val="2"/>
    </font>
    <font>
      <sz val="10"/>
      <name val="Arial"/>
      <family val="2"/>
    </font>
    <font>
      <sz val="10"/>
      <color rgb="FF000080"/>
      <name val="Symbol"/>
      <family val="1"/>
      <charset val="2"/>
    </font>
    <font>
      <b/>
      <vertAlign val="subscript"/>
      <sz val="10"/>
      <color rgb="FF000000"/>
      <name val="Arial"/>
      <family val="2"/>
    </font>
    <font>
      <b/>
      <sz val="10"/>
      <color rgb="FF000000"/>
      <name val="Symbol"/>
      <family val="1"/>
      <charset val="2"/>
    </font>
    <font>
      <b/>
      <sz val="10"/>
      <name val="Arial"/>
      <family val="2"/>
    </font>
    <font>
      <vertAlign val="subscript"/>
      <sz val="10"/>
      <color rgb="FF000080"/>
      <name val="Arial"/>
      <family val="2"/>
    </font>
    <font>
      <b/>
      <sz val="14"/>
      <name val="Arial"/>
      <family val="2"/>
    </font>
    <font>
      <b/>
      <sz val="10"/>
      <color rgb="FF000080"/>
      <name val="Symbol"/>
      <family val="1"/>
      <charset val="2"/>
    </font>
    <font>
      <b/>
      <i/>
      <sz val="10"/>
      <color rgb="FF000080"/>
      <name val="Arial"/>
      <family val="2"/>
    </font>
    <font>
      <b/>
      <i/>
      <vertAlign val="subscript"/>
      <sz val="10"/>
      <color rgb="FF000080"/>
      <name val="Arial"/>
      <family val="2"/>
    </font>
    <font>
      <b/>
      <vertAlign val="superscript"/>
      <sz val="10"/>
      <color rgb="FF000080"/>
      <name val="Arial"/>
      <family val="2"/>
    </font>
    <font>
      <b/>
      <sz val="10"/>
      <color rgb="FFFF0000"/>
      <name val="Arial"/>
      <family val="2"/>
    </font>
    <font>
      <u/>
      <sz val="10"/>
      <name val="Arial"/>
      <family val="2"/>
    </font>
    <font>
      <sz val="10"/>
      <name val="Symbol"/>
      <family val="1"/>
      <charset val="2"/>
    </font>
    <font>
      <b/>
      <u/>
      <sz val="10"/>
      <name val="Arial"/>
      <family val="2"/>
    </font>
    <font>
      <b/>
      <vertAlign val="subscript"/>
      <sz val="10"/>
      <color theme="0"/>
      <name val="Arial"/>
      <family val="2"/>
    </font>
    <font>
      <b/>
      <sz val="10"/>
      <color theme="0"/>
      <name val="Symbol"/>
      <family val="1"/>
      <charset val="2"/>
    </font>
  </fonts>
  <fills count="14">
    <fill>
      <patternFill patternType="none"/>
    </fill>
    <fill>
      <patternFill patternType="gray125"/>
    </fill>
    <fill>
      <patternFill patternType="solid">
        <fgColor rgb="FFFFFF99"/>
        <bgColor rgb="FFFFFF99"/>
      </patternFill>
    </fill>
    <fill>
      <patternFill patternType="solid">
        <fgColor rgb="FFC0C0C0"/>
        <bgColor rgb="FFC0C0C0"/>
      </patternFill>
    </fill>
    <fill>
      <patternFill patternType="solid">
        <fgColor rgb="FFCCFFFF"/>
        <bgColor rgb="FFCCFFFF"/>
      </patternFill>
    </fill>
    <fill>
      <patternFill patternType="solid">
        <fgColor rgb="FFBFBFBF"/>
        <bgColor rgb="FFBFBFBF"/>
      </patternFill>
    </fill>
    <fill>
      <patternFill patternType="solid">
        <fgColor rgb="FFFF0000"/>
        <bgColor indexed="64"/>
      </patternFill>
    </fill>
    <fill>
      <patternFill patternType="solid">
        <fgColor rgb="FF99FF66"/>
        <bgColor indexed="64"/>
      </patternFill>
    </fill>
    <fill>
      <patternFill patternType="solid">
        <fgColor theme="6" tint="0.59999389629810485"/>
        <bgColor indexed="64"/>
      </patternFill>
    </fill>
    <fill>
      <patternFill patternType="solid">
        <fgColor theme="0" tint="-0.14999847407452621"/>
        <bgColor rgb="FFC0C0C0"/>
      </patternFill>
    </fill>
    <fill>
      <patternFill patternType="solid">
        <fgColor theme="3" tint="0.79998168889431442"/>
        <bgColor rgb="FFC0C0C0"/>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0.14999847407452621"/>
        <bgColor indexed="64"/>
      </patternFill>
    </fill>
  </fills>
  <borders count="33">
    <border>
      <left/>
      <right/>
      <top/>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top style="medium">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style="medium">
        <color indexed="64"/>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
      <left style="thin">
        <color rgb="FF000000"/>
      </left>
      <right/>
      <top style="thin">
        <color rgb="FF000000"/>
      </top>
      <bottom/>
      <diagonal/>
    </border>
    <border>
      <left style="thin">
        <color rgb="FF000000"/>
      </left>
      <right/>
      <top style="medium">
        <color rgb="FF000000"/>
      </top>
      <bottom style="medium">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indexed="64"/>
      </right>
      <top style="medium">
        <color rgb="FF000000"/>
      </top>
      <bottom style="medium">
        <color indexed="64"/>
      </bottom>
      <diagonal/>
    </border>
    <border>
      <left/>
      <right style="thin">
        <color rgb="FF000000"/>
      </right>
      <top/>
      <bottom/>
      <diagonal/>
    </border>
  </borders>
  <cellStyleXfs count="5">
    <xf numFmtId="0" fontId="0" fillId="0" borderId="0"/>
    <xf numFmtId="9" fontId="1" fillId="0" borderId="0" applyFont="0" applyFill="0" applyBorder="0" applyAlignment="0" applyProtection="0"/>
    <xf numFmtId="0" fontId="2" fillId="0" borderId="0" applyNumberFormat="0" applyFill="0" applyBorder="0" applyAlignment="0" applyProtection="0"/>
    <xf numFmtId="164" fontId="1" fillId="0" borderId="0" applyFont="0" applyFill="0" applyBorder="0" applyAlignment="0" applyProtection="0"/>
    <xf numFmtId="0" fontId="1" fillId="0" borderId="0"/>
  </cellStyleXfs>
  <cellXfs count="191">
    <xf numFmtId="0" fontId="0" fillId="0" borderId="0" xfId="0"/>
    <xf numFmtId="0" fontId="0" fillId="0" borderId="1" xfId="0" applyBorder="1" applyAlignment="1">
      <alignment vertical="top" wrapText="1"/>
    </xf>
    <xf numFmtId="0" fontId="3" fillId="0" borderId="2" xfId="0" applyFont="1" applyBorder="1" applyAlignment="1">
      <alignment horizontal="center" vertical="center" wrapText="1"/>
    </xf>
    <xf numFmtId="0" fontId="0" fillId="0" borderId="0" xfId="0" applyAlignment="1">
      <alignment vertical="center"/>
    </xf>
    <xf numFmtId="0" fontId="3" fillId="0" borderId="0" xfId="0" applyFont="1" applyAlignment="1">
      <alignment vertical="center"/>
    </xf>
    <xf numFmtId="0" fontId="4" fillId="0" borderId="0" xfId="0" applyFont="1"/>
    <xf numFmtId="0" fontId="5" fillId="0" borderId="0" xfId="0" applyFont="1"/>
    <xf numFmtId="0" fontId="1" fillId="0" borderId="0" xfId="1" applyNumberFormat="1"/>
    <xf numFmtId="0" fontId="0" fillId="3" borderId="6" xfId="0" applyFill="1" applyBorder="1" applyAlignment="1">
      <alignment vertical="center"/>
    </xf>
    <xf numFmtId="11" fontId="0" fillId="4" borderId="6" xfId="0" applyNumberFormat="1" applyFill="1" applyBorder="1"/>
    <xf numFmtId="11" fontId="0" fillId="0" borderId="6" xfId="0" applyNumberFormat="1" applyBorder="1" applyAlignment="1">
      <alignment horizontal="center"/>
    </xf>
    <xf numFmtId="167" fontId="1" fillId="0" borderId="0" xfId="1" applyNumberFormat="1"/>
    <xf numFmtId="0" fontId="4" fillId="0" borderId="5" xfId="0" applyFont="1" applyBorder="1" applyAlignment="1">
      <alignment horizontal="left"/>
    </xf>
    <xf numFmtId="0" fontId="8" fillId="0" borderId="6" xfId="0" applyFont="1" applyBorder="1" applyAlignment="1">
      <alignment horizontal="right" vertical="center"/>
    </xf>
    <xf numFmtId="0" fontId="8" fillId="0" borderId="8" xfId="0" applyFont="1" applyBorder="1"/>
    <xf numFmtId="2" fontId="0" fillId="0" borderId="9" xfId="0" applyNumberFormat="1" applyBorder="1" applyAlignment="1">
      <alignment horizontal="center"/>
    </xf>
    <xf numFmtId="168" fontId="1" fillId="0" borderId="0" xfId="1" applyNumberFormat="1"/>
    <xf numFmtId="0" fontId="4" fillId="0" borderId="7" xfId="0" applyFont="1" applyBorder="1" applyAlignment="1">
      <alignment horizontal="center"/>
    </xf>
    <xf numFmtId="0" fontId="4" fillId="0" borderId="5" xfId="0" applyFont="1" applyBorder="1"/>
    <xf numFmtId="0" fontId="0" fillId="0" borderId="0" xfId="0" applyAlignment="1">
      <alignment horizontal="right"/>
    </xf>
    <xf numFmtId="11" fontId="0" fillId="0" borderId="0" xfId="0" applyNumberFormat="1"/>
    <xf numFmtId="0" fontId="4" fillId="0" borderId="6" xfId="0" applyFont="1" applyBorder="1" applyAlignment="1">
      <alignment horizontal="right" vertical="center"/>
    </xf>
    <xf numFmtId="0" fontId="4" fillId="0" borderId="8" xfId="0" applyFont="1" applyBorder="1" applyAlignment="1">
      <alignment horizontal="left"/>
    </xf>
    <xf numFmtId="0" fontId="0" fillId="0" borderId="6" xfId="0" applyBorder="1" applyAlignment="1">
      <alignment horizontal="right" vertical="center"/>
    </xf>
    <xf numFmtId="0" fontId="0" fillId="0" borderId="8" xfId="0" applyBorder="1"/>
    <xf numFmtId="11" fontId="0" fillId="0" borderId="9" xfId="0" applyNumberFormat="1" applyBorder="1" applyAlignment="1">
      <alignment horizontal="center"/>
    </xf>
    <xf numFmtId="0" fontId="10" fillId="2" borderId="6" xfId="0" applyFont="1" applyFill="1" applyBorder="1" applyAlignment="1">
      <alignment horizontal="right" vertical="center"/>
    </xf>
    <xf numFmtId="0" fontId="10" fillId="2" borderId="8" xfId="0" applyFont="1" applyFill="1" applyBorder="1" applyAlignment="1">
      <alignment horizontal="center"/>
    </xf>
    <xf numFmtId="2" fontId="11" fillId="2" borderId="9" xfId="1" applyNumberFormat="1" applyFont="1" applyFill="1" applyBorder="1" applyAlignment="1">
      <alignment horizontal="center"/>
    </xf>
    <xf numFmtId="0" fontId="4" fillId="0" borderId="0" xfId="0" applyFont="1" applyAlignment="1">
      <alignment horizontal="center"/>
    </xf>
    <xf numFmtId="2" fontId="4" fillId="0" borderId="0" xfId="0" applyNumberFormat="1" applyFont="1" applyAlignment="1">
      <alignment horizontal="center"/>
    </xf>
    <xf numFmtId="0" fontId="0" fillId="0" borderId="0" xfId="0" applyAlignment="1">
      <alignment horizontal="center"/>
    </xf>
    <xf numFmtId="0" fontId="12" fillId="0" borderId="6" xfId="0" applyFont="1" applyFill="1" applyBorder="1" applyAlignment="1">
      <alignment vertical="center"/>
    </xf>
    <xf numFmtId="0" fontId="0" fillId="0" borderId="6" xfId="0" applyFill="1" applyBorder="1" applyAlignment="1">
      <alignment horizontal="center"/>
    </xf>
    <xf numFmtId="2" fontId="0" fillId="0" borderId="6" xfId="0" applyNumberFormat="1" applyFill="1" applyBorder="1" applyAlignment="1">
      <alignment horizontal="center"/>
    </xf>
    <xf numFmtId="166" fontId="0" fillId="0" borderId="6" xfId="0" applyNumberFormat="1" applyBorder="1" applyAlignment="1">
      <alignment horizontal="center"/>
    </xf>
    <xf numFmtId="2" fontId="0" fillId="0" borderId="6" xfId="0" applyNumberFormat="1" applyBorder="1" applyAlignment="1">
      <alignment horizontal="center"/>
    </xf>
    <xf numFmtId="11" fontId="0" fillId="4" borderId="0" xfId="0" applyNumberFormat="1" applyFill="1"/>
    <xf numFmtId="0" fontId="13" fillId="3" borderId="6" xfId="0" applyFont="1" applyFill="1" applyBorder="1" applyAlignment="1">
      <alignment horizontal="center" vertical="center"/>
    </xf>
    <xf numFmtId="0" fontId="0" fillId="0" borderId="6" xfId="0" applyBorder="1" applyAlignment="1">
      <alignment horizontal="center"/>
    </xf>
    <xf numFmtId="0" fontId="0" fillId="0" borderId="6" xfId="0" applyFill="1" applyBorder="1" applyAlignment="1">
      <alignment horizontal="center" vertical="center"/>
    </xf>
    <xf numFmtId="0" fontId="0" fillId="0" borderId="6" xfId="0" applyBorder="1" applyAlignment="1">
      <alignment horizontal="center" vertical="center"/>
    </xf>
    <xf numFmtId="166" fontId="0" fillId="0" borderId="6" xfId="0" applyNumberFormat="1" applyBorder="1" applyAlignment="1">
      <alignment horizontal="center" vertical="center"/>
    </xf>
    <xf numFmtId="166" fontId="0" fillId="0" borderId="6" xfId="0" applyNumberFormat="1" applyFill="1" applyBorder="1" applyAlignment="1">
      <alignment horizontal="center"/>
    </xf>
    <xf numFmtId="166" fontId="0" fillId="0" borderId="6" xfId="0" applyNumberFormat="1" applyFill="1" applyBorder="1" applyAlignment="1">
      <alignment horizontal="center" vertical="center"/>
    </xf>
    <xf numFmtId="0" fontId="0" fillId="0" borderId="0" xfId="0" applyFill="1"/>
    <xf numFmtId="0" fontId="0" fillId="0" borderId="0" xfId="0" applyFill="1" applyAlignment="1">
      <alignment horizontal="center"/>
    </xf>
    <xf numFmtId="11" fontId="0" fillId="0" borderId="0" xfId="0" applyNumberFormat="1" applyFill="1" applyAlignment="1">
      <alignment horizontal="center"/>
    </xf>
    <xf numFmtId="166" fontId="0" fillId="0" borderId="0" xfId="0" applyNumberFormat="1" applyAlignment="1">
      <alignment horizontal="center"/>
    </xf>
    <xf numFmtId="0" fontId="12" fillId="0" borderId="0" xfId="0" applyFont="1" applyFill="1" applyAlignment="1">
      <alignment vertical="center"/>
    </xf>
    <xf numFmtId="0" fontId="0" fillId="0" borderId="10" xfId="0" applyBorder="1"/>
    <xf numFmtId="0" fontId="0" fillId="0" borderId="13" xfId="0" applyBorder="1" applyAlignment="1">
      <alignment horizontal="center"/>
    </xf>
    <xf numFmtId="166" fontId="0" fillId="0" borderId="15" xfId="0" applyNumberFormat="1" applyBorder="1" applyAlignment="1">
      <alignment horizontal="center"/>
    </xf>
    <xf numFmtId="166" fontId="0" fillId="0" borderId="16" xfId="0" applyNumberFormat="1" applyBorder="1" applyAlignment="1">
      <alignment horizontal="center"/>
    </xf>
    <xf numFmtId="166" fontId="0" fillId="0" borderId="17" xfId="0" applyNumberFormat="1" applyBorder="1" applyAlignment="1">
      <alignment horizontal="center"/>
    </xf>
    <xf numFmtId="166" fontId="0" fillId="0" borderId="18" xfId="0" applyNumberFormat="1" applyBorder="1" applyAlignment="1">
      <alignment horizontal="center"/>
    </xf>
    <xf numFmtId="166" fontId="0" fillId="0" borderId="19" xfId="0" applyNumberFormat="1" applyBorder="1" applyAlignment="1">
      <alignment horizontal="center"/>
    </xf>
    <xf numFmtId="166" fontId="0" fillId="0" borderId="12" xfId="0" applyNumberFormat="1" applyBorder="1" applyAlignment="1">
      <alignment horizontal="center"/>
    </xf>
    <xf numFmtId="166" fontId="0" fillId="0" borderId="13" xfId="0" applyNumberFormat="1" applyBorder="1" applyAlignment="1">
      <alignment horizontal="center"/>
    </xf>
    <xf numFmtId="1" fontId="4" fillId="6" borderId="7" xfId="0" applyNumberFormat="1" applyFont="1" applyFill="1" applyBorder="1" applyAlignment="1">
      <alignment horizontal="center"/>
    </xf>
    <xf numFmtId="0" fontId="14" fillId="0" borderId="0" xfId="0" applyFont="1"/>
    <xf numFmtId="11" fontId="14" fillId="0" borderId="0" xfId="0" applyNumberFormat="1" applyFont="1" applyBorder="1"/>
    <xf numFmtId="0" fontId="14" fillId="0" borderId="0" xfId="0" applyFont="1" applyBorder="1"/>
    <xf numFmtId="0" fontId="15"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0" fillId="0" borderId="0" xfId="0" applyFill="1" applyBorder="1" applyAlignment="1">
      <alignment horizontal="center"/>
    </xf>
    <xf numFmtId="166" fontId="17" fillId="0" borderId="6" xfId="0" applyNumberFormat="1" applyFont="1" applyBorder="1" applyAlignment="1">
      <alignment horizontal="center"/>
    </xf>
    <xf numFmtId="166" fontId="17" fillId="0" borderId="19" xfId="0" applyNumberFormat="1" applyFont="1" applyBorder="1" applyAlignment="1">
      <alignment horizontal="center"/>
    </xf>
    <xf numFmtId="166" fontId="17" fillId="0" borderId="14" xfId="0" applyNumberFormat="1" applyFont="1" applyBorder="1" applyAlignment="1">
      <alignment horizontal="center"/>
    </xf>
    <xf numFmtId="0" fontId="0" fillId="0" borderId="12" xfId="0" applyBorder="1" applyAlignment="1">
      <alignment horizontal="center" wrapText="1"/>
    </xf>
    <xf numFmtId="1" fontId="0" fillId="0" borderId="6" xfId="0" applyNumberFormat="1" applyFill="1" applyBorder="1" applyAlignment="1">
      <alignment horizontal="center"/>
    </xf>
    <xf numFmtId="170" fontId="0" fillId="0" borderId="6" xfId="0" applyNumberFormat="1" applyFill="1" applyBorder="1" applyAlignment="1">
      <alignment horizontal="center"/>
    </xf>
    <xf numFmtId="2" fontId="4" fillId="0" borderId="9" xfId="0" applyNumberFormat="1" applyFont="1" applyBorder="1" applyAlignment="1">
      <alignment horizontal="center"/>
    </xf>
    <xf numFmtId="11" fontId="0" fillId="0" borderId="0" xfId="0" applyNumberFormat="1" applyFill="1"/>
    <xf numFmtId="0" fontId="21" fillId="0" borderId="7" xfId="0" applyFont="1" applyBorder="1" applyAlignment="1">
      <alignment horizontal="center"/>
    </xf>
    <xf numFmtId="1" fontId="0" fillId="8" borderId="0" xfId="0" applyNumberFormat="1" applyFill="1" applyAlignment="1">
      <alignment horizontal="center"/>
    </xf>
    <xf numFmtId="0" fontId="12" fillId="0" borderId="3" xfId="0" applyFont="1" applyFill="1" applyBorder="1" applyAlignment="1">
      <alignment vertical="center"/>
    </xf>
    <xf numFmtId="0" fontId="6" fillId="3" borderId="22" xfId="0" applyFont="1" applyFill="1" applyBorder="1" applyAlignment="1">
      <alignment horizontal="center" vertical="center"/>
    </xf>
    <xf numFmtId="0" fontId="6" fillId="3" borderId="22" xfId="0" applyFont="1" applyFill="1" applyBorder="1" applyAlignment="1">
      <alignment horizontal="center" vertical="center" wrapText="1"/>
    </xf>
    <xf numFmtId="0" fontId="7" fillId="3" borderId="22" xfId="0" applyFont="1" applyFill="1" applyBorder="1" applyAlignment="1">
      <alignment horizontal="center" vertical="center"/>
    </xf>
    <xf numFmtId="0" fontId="23" fillId="0" borderId="0" xfId="0" applyFont="1" applyFill="1" applyBorder="1" applyAlignment="1">
      <alignment horizontal="center" vertical="center" wrapText="1"/>
    </xf>
    <xf numFmtId="0" fontId="23" fillId="0" borderId="0" xfId="0" applyFont="1" applyFill="1" applyBorder="1" applyAlignment="1">
      <alignment vertical="center" wrapText="1"/>
    </xf>
    <xf numFmtId="168" fontId="0" fillId="0" borderId="6" xfId="0" applyNumberFormat="1" applyBorder="1" applyAlignment="1">
      <alignment horizontal="center"/>
    </xf>
    <xf numFmtId="168" fontId="0" fillId="0" borderId="0" xfId="0" applyNumberFormat="1" applyFill="1"/>
    <xf numFmtId="171" fontId="0" fillId="0" borderId="6" xfId="3" applyNumberFormat="1" applyFont="1" applyFill="1" applyBorder="1" applyAlignment="1">
      <alignment horizontal="center"/>
    </xf>
    <xf numFmtId="171" fontId="0" fillId="0" borderId="6" xfId="3" applyNumberFormat="1" applyFont="1" applyFill="1" applyBorder="1" applyAlignment="1">
      <alignment horizontal="center" vertical="center"/>
    </xf>
    <xf numFmtId="0" fontId="4" fillId="0" borderId="0" xfId="0" applyFont="1" applyFill="1"/>
    <xf numFmtId="0" fontId="13" fillId="3" borderId="3" xfId="0" applyFont="1" applyFill="1" applyBorder="1" applyAlignment="1">
      <alignment horizontal="center" vertical="center"/>
    </xf>
    <xf numFmtId="0" fontId="13" fillId="3" borderId="3" xfId="0" applyFont="1" applyFill="1" applyBorder="1" applyAlignment="1">
      <alignment horizontal="center" vertical="center" wrapText="1"/>
    </xf>
    <xf numFmtId="0" fontId="24" fillId="3" borderId="3"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 xfId="0" applyFont="1" applyFill="1" applyBorder="1" applyAlignment="1">
      <alignment horizontal="center"/>
    </xf>
    <xf numFmtId="0" fontId="13" fillId="3" borderId="3" xfId="0" applyFont="1" applyFill="1" applyBorder="1" applyAlignment="1">
      <alignment horizontal="center"/>
    </xf>
    <xf numFmtId="0" fontId="17" fillId="0" borderId="0" xfId="0" applyFont="1"/>
    <xf numFmtId="167" fontId="17" fillId="0" borderId="0" xfId="1" applyNumberFormat="1" applyFont="1"/>
    <xf numFmtId="11" fontId="17" fillId="0" borderId="0" xfId="0" applyNumberFormat="1" applyFont="1"/>
    <xf numFmtId="165" fontId="17" fillId="0" borderId="0" xfId="1" applyNumberFormat="1" applyFont="1"/>
    <xf numFmtId="0" fontId="21" fillId="0" borderId="0" xfId="0" applyFont="1"/>
    <xf numFmtId="11" fontId="14" fillId="0" borderId="0" xfId="0" applyNumberFormat="1" applyFont="1"/>
    <xf numFmtId="0" fontId="14" fillId="0" borderId="0" xfId="0" applyFont="1" applyFill="1"/>
    <xf numFmtId="2" fontId="14" fillId="0" borderId="0" xfId="0" applyNumberFormat="1" applyFont="1"/>
    <xf numFmtId="0" fontId="28"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9" fillId="0" borderId="0" xfId="0" applyFont="1"/>
    <xf numFmtId="0" fontId="17" fillId="0" borderId="0" xfId="0" quotePrefix="1" applyFont="1"/>
    <xf numFmtId="0" fontId="17" fillId="0" borderId="0" xfId="0" quotePrefix="1" applyFont="1" applyFill="1"/>
    <xf numFmtId="0" fontId="17" fillId="0" borderId="0" xfId="0" applyFont="1" applyFill="1"/>
    <xf numFmtId="0" fontId="17" fillId="0" borderId="0" xfId="0" applyFont="1" applyFill="1" applyAlignment="1">
      <alignment horizontal="center"/>
    </xf>
    <xf numFmtId="0" fontId="17" fillId="0" borderId="0" xfId="0" applyFont="1" applyAlignment="1">
      <alignment horizontal="center"/>
    </xf>
    <xf numFmtId="0" fontId="31" fillId="0" borderId="0" xfId="0" applyFont="1" applyFill="1" applyAlignment="1">
      <alignment vertical="center"/>
    </xf>
    <xf numFmtId="0" fontId="17" fillId="0" borderId="10" xfId="0" applyFont="1" applyBorder="1" applyAlignment="1">
      <alignment horizontal="center"/>
    </xf>
    <xf numFmtId="0" fontId="21" fillId="3" borderId="6" xfId="0" applyFont="1" applyFill="1" applyBorder="1" applyAlignment="1">
      <alignment horizontal="center" vertical="center"/>
    </xf>
    <xf numFmtId="171" fontId="17" fillId="0" borderId="6" xfId="3" applyNumberFormat="1" applyFont="1" applyFill="1" applyBorder="1" applyAlignment="1">
      <alignment horizontal="center"/>
    </xf>
    <xf numFmtId="166" fontId="17" fillId="0" borderId="6" xfId="0" applyNumberFormat="1" applyFont="1" applyFill="1" applyBorder="1" applyAlignment="1">
      <alignment horizontal="center"/>
    </xf>
    <xf numFmtId="1" fontId="17" fillId="0" borderId="6" xfId="0" applyNumberFormat="1" applyFont="1" applyFill="1" applyBorder="1" applyAlignment="1">
      <alignment horizontal="center"/>
    </xf>
    <xf numFmtId="1" fontId="17" fillId="0" borderId="6" xfId="3" applyNumberFormat="1" applyFont="1" applyFill="1" applyBorder="1" applyAlignment="1">
      <alignment horizontal="center"/>
    </xf>
    <xf numFmtId="172" fontId="17" fillId="0" borderId="6" xfId="0" applyNumberFormat="1" applyFont="1" applyFill="1" applyBorder="1" applyAlignment="1">
      <alignment horizontal="center"/>
    </xf>
    <xf numFmtId="171" fontId="17" fillId="0" borderId="6" xfId="3" applyNumberFormat="1" applyFont="1" applyBorder="1" applyAlignment="1">
      <alignment horizontal="center"/>
    </xf>
    <xf numFmtId="0" fontId="4" fillId="5" borderId="11" xfId="0" applyFont="1" applyFill="1" applyBorder="1" applyAlignment="1">
      <alignment horizontal="center"/>
    </xf>
    <xf numFmtId="0" fontId="0" fillId="9" borderId="6" xfId="0" applyFill="1" applyBorder="1"/>
    <xf numFmtId="0" fontId="0" fillId="9" borderId="8" xfId="0" applyFill="1" applyBorder="1" applyAlignment="1">
      <alignment horizontal="center"/>
    </xf>
    <xf numFmtId="0" fontId="0" fillId="10" borderId="6" xfId="0" applyFill="1" applyBorder="1"/>
    <xf numFmtId="0" fontId="0" fillId="10" borderId="8" xfId="0" applyFill="1" applyBorder="1" applyAlignment="1">
      <alignment horizontal="center"/>
    </xf>
    <xf numFmtId="0" fontId="13" fillId="0" borderId="3" xfId="0" applyFont="1" applyFill="1" applyBorder="1" applyAlignment="1">
      <alignment horizontal="center" vertical="center"/>
    </xf>
    <xf numFmtId="0" fontId="13" fillId="0" borderId="27"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25" fillId="0" borderId="3" xfId="0" applyFont="1" applyFill="1" applyBorder="1" applyAlignment="1">
      <alignment horizontal="center" vertical="center"/>
    </xf>
    <xf numFmtId="0" fontId="0" fillId="0" borderId="0" xfId="0" applyFill="1" applyBorder="1" applyAlignment="1">
      <alignment horizontal="right"/>
    </xf>
    <xf numFmtId="0" fontId="0" fillId="0" borderId="0" xfId="0" applyFill="1" applyAlignment="1">
      <alignment horizontal="right"/>
    </xf>
    <xf numFmtId="2" fontId="0" fillId="11" borderId="0" xfId="0" applyNumberFormat="1" applyFill="1" applyAlignment="1">
      <alignment horizontal="center"/>
    </xf>
    <xf numFmtId="0" fontId="0" fillId="11" borderId="0" xfId="0" applyFill="1"/>
    <xf numFmtId="0" fontId="0" fillId="11" borderId="0" xfId="0" applyFill="1" applyAlignment="1">
      <alignment horizontal="center"/>
    </xf>
    <xf numFmtId="0" fontId="0" fillId="0" borderId="14" xfId="0" applyBorder="1" applyAlignment="1">
      <alignment horizontal="center"/>
    </xf>
    <xf numFmtId="0" fontId="17" fillId="0" borderId="0" xfId="0" applyFont="1" applyBorder="1"/>
    <xf numFmtId="0" fontId="10" fillId="0" borderId="0" xfId="0" applyFont="1" applyAlignment="1">
      <alignment horizontal="right" vertical="center"/>
    </xf>
    <xf numFmtId="11" fontId="17" fillId="0" borderId="6" xfId="0" applyNumberFormat="1" applyFont="1" applyBorder="1" applyAlignment="1">
      <alignment horizontal="center"/>
    </xf>
    <xf numFmtId="0" fontId="1" fillId="0" borderId="0" xfId="4"/>
    <xf numFmtId="0" fontId="4" fillId="0" borderId="0" xfId="4" applyFont="1"/>
    <xf numFmtId="0" fontId="17" fillId="0" borderId="0" xfId="4" quotePrefix="1" applyFont="1"/>
    <xf numFmtId="0" fontId="17" fillId="0" borderId="0" xfId="4" applyFont="1"/>
    <xf numFmtId="0" fontId="32" fillId="0" borderId="0" xfId="0" applyFont="1" applyBorder="1" applyAlignment="1">
      <alignment horizontal="center" vertical="center" wrapText="1"/>
    </xf>
    <xf numFmtId="0" fontId="33" fillId="0" borderId="0" xfId="0" applyFont="1" applyBorder="1" applyAlignment="1">
      <alignment horizontal="center" vertical="center" wrapText="1"/>
    </xf>
    <xf numFmtId="11" fontId="16" fillId="0" borderId="0" xfId="0" applyNumberFormat="1" applyFont="1" applyBorder="1" applyAlignment="1">
      <alignment horizontal="center" vertical="center" wrapText="1"/>
    </xf>
    <xf numFmtId="0" fontId="0" fillId="9" borderId="6" xfId="0" applyFill="1" applyBorder="1" applyAlignment="1">
      <alignment horizontal="center"/>
    </xf>
    <xf numFmtId="0" fontId="0" fillId="9" borderId="6" xfId="0" applyFill="1" applyBorder="1" applyAlignment="1">
      <alignment horizontal="center" vertical="center"/>
    </xf>
    <xf numFmtId="0" fontId="17" fillId="9" borderId="8" xfId="0" applyFont="1" applyFill="1" applyBorder="1" applyAlignment="1">
      <alignment horizontal="left"/>
    </xf>
    <xf numFmtId="0" fontId="17" fillId="9" borderId="8" xfId="0" applyFont="1" applyFill="1" applyBorder="1" applyAlignment="1">
      <alignment horizontal="left" vertical="center"/>
    </xf>
    <xf numFmtId="0" fontId="0" fillId="9" borderId="8" xfId="0" applyFill="1" applyBorder="1" applyAlignment="1">
      <alignment horizontal="center" vertical="center"/>
    </xf>
    <xf numFmtId="0" fontId="0" fillId="9" borderId="8" xfId="0" applyFill="1" applyBorder="1" applyAlignment="1">
      <alignment horizontal="left"/>
    </xf>
    <xf numFmtId="0" fontId="0" fillId="9" borderId="8" xfId="0" applyFill="1" applyBorder="1" applyAlignment="1">
      <alignment horizontal="left" vertical="center"/>
    </xf>
    <xf numFmtId="166" fontId="17" fillId="0" borderId="0" xfId="0" applyNumberFormat="1" applyFont="1"/>
    <xf numFmtId="0" fontId="0" fillId="0" borderId="0" xfId="0" applyAlignment="1">
      <alignment horizontal="left" wrapText="1"/>
    </xf>
    <xf numFmtId="0" fontId="0" fillId="13" borderId="32" xfId="0" applyFill="1" applyBorder="1" applyAlignment="1">
      <alignment horizontal="center" vertical="center" textRotation="90" wrapText="1"/>
    </xf>
    <xf numFmtId="0" fontId="0" fillId="13" borderId="32" xfId="0" applyFill="1" applyBorder="1" applyAlignment="1">
      <alignment horizontal="center" vertical="center" textRotation="90"/>
    </xf>
    <xf numFmtId="0" fontId="0" fillId="12" borderId="32" xfId="0" applyFill="1" applyBorder="1" applyAlignment="1">
      <alignment horizontal="center" vertical="center" textRotation="90" wrapText="1"/>
    </xf>
    <xf numFmtId="0" fontId="4" fillId="0" borderId="4" xfId="0" applyFont="1" applyBorder="1" applyAlignment="1">
      <alignment horizontal="right"/>
    </xf>
    <xf numFmtId="0" fontId="4" fillId="0" borderId="7" xfId="0" applyFont="1" applyBorder="1" applyAlignment="1">
      <alignment horizontal="right"/>
    </xf>
    <xf numFmtId="0" fontId="4" fillId="0" borderId="5" xfId="0" applyFont="1" applyBorder="1" applyAlignment="1">
      <alignment horizontal="center"/>
    </xf>
    <xf numFmtId="0" fontId="0" fillId="11" borderId="26" xfId="0" applyFill="1" applyBorder="1" applyAlignment="1">
      <alignment horizontal="right"/>
    </xf>
    <xf numFmtId="0" fontId="0" fillId="11" borderId="0" xfId="0" applyFill="1" applyBorder="1" applyAlignment="1">
      <alignment horizontal="right"/>
    </xf>
    <xf numFmtId="0" fontId="4" fillId="0" borderId="4" xfId="0" applyFont="1" applyFill="1" applyBorder="1" applyAlignment="1">
      <alignment horizontal="right"/>
    </xf>
    <xf numFmtId="0" fontId="4" fillId="0" borderId="7" xfId="0" applyFont="1" applyFill="1" applyBorder="1" applyAlignment="1">
      <alignment horizontal="right"/>
    </xf>
    <xf numFmtId="0" fontId="0" fillId="11" borderId="0" xfId="0" applyFill="1" applyAlignment="1">
      <alignment horizontal="right"/>
    </xf>
    <xf numFmtId="0" fontId="4" fillId="7" borderId="4" xfId="0" applyFont="1" applyFill="1" applyBorder="1" applyAlignment="1">
      <alignment horizontal="right"/>
    </xf>
    <xf numFmtId="0" fontId="23" fillId="0" borderId="0" xfId="0" applyFont="1" applyFill="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4" fillId="0" borderId="5" xfId="0" applyFont="1" applyFill="1" applyBorder="1" applyAlignment="1">
      <alignment horizontal="center"/>
    </xf>
    <xf numFmtId="0" fontId="13" fillId="3" borderId="2" xfId="0" applyFont="1" applyFill="1" applyBorder="1" applyAlignment="1">
      <alignment horizontal="center" vertical="center"/>
    </xf>
    <xf numFmtId="0" fontId="4" fillId="7" borderId="20" xfId="0" applyFont="1" applyFill="1" applyBorder="1" applyAlignment="1">
      <alignment horizontal="center"/>
    </xf>
    <xf numFmtId="0" fontId="4" fillId="7" borderId="31" xfId="0" applyFont="1" applyFill="1" applyBorder="1" applyAlignment="1">
      <alignment horizontal="center"/>
    </xf>
    <xf numFmtId="0" fontId="17" fillId="0" borderId="8" xfId="0" applyFont="1" applyFill="1" applyBorder="1" applyAlignment="1">
      <alignment horizontal="center"/>
    </xf>
    <xf numFmtId="0" fontId="17" fillId="0" borderId="21" xfId="0" applyFont="1" applyFill="1" applyBorder="1" applyAlignment="1">
      <alignment horizontal="center"/>
    </xf>
    <xf numFmtId="0" fontId="17" fillId="0" borderId="9" xfId="0" applyFont="1" applyFill="1" applyBorder="1" applyAlignment="1">
      <alignment horizontal="center"/>
    </xf>
    <xf numFmtId="0" fontId="0" fillId="0" borderId="21" xfId="0" applyBorder="1" applyAlignment="1">
      <alignment horizontal="center"/>
    </xf>
    <xf numFmtId="0" fontId="13" fillId="3" borderId="28"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4" fillId="5" borderId="29" xfId="0" applyFont="1" applyFill="1" applyBorder="1" applyAlignment="1">
      <alignment horizontal="center"/>
    </xf>
    <xf numFmtId="0" fontId="4" fillId="5" borderId="30" xfId="0" applyFont="1" applyFill="1" applyBorder="1" applyAlignment="1">
      <alignment horizontal="center"/>
    </xf>
    <xf numFmtId="0" fontId="0" fillId="0" borderId="8" xfId="0" applyFill="1" applyBorder="1" applyAlignment="1">
      <alignment horizontal="center"/>
    </xf>
    <xf numFmtId="0" fontId="0" fillId="0" borderId="21" xfId="0" applyFill="1" applyBorder="1" applyAlignment="1">
      <alignment horizontal="center"/>
    </xf>
    <xf numFmtId="0" fontId="0" fillId="0" borderId="9" xfId="0" applyFill="1" applyBorder="1" applyAlignment="1">
      <alignment horizontal="center"/>
    </xf>
    <xf numFmtId="169" fontId="0" fillId="0" borderId="8" xfId="0" applyNumberFormat="1" applyFill="1" applyBorder="1" applyAlignment="1">
      <alignment horizontal="center"/>
    </xf>
    <xf numFmtId="169" fontId="0" fillId="0" borderId="21" xfId="0" applyNumberFormat="1" applyFill="1" applyBorder="1" applyAlignment="1">
      <alignment horizontal="center"/>
    </xf>
    <xf numFmtId="169" fontId="0" fillId="0" borderId="9" xfId="0" applyNumberFormat="1" applyFill="1" applyBorder="1" applyAlignment="1">
      <alignment horizontal="center"/>
    </xf>
    <xf numFmtId="0" fontId="0" fillId="0" borderId="10" xfId="0" applyFill="1" applyBorder="1"/>
    <xf numFmtId="0" fontId="13" fillId="3" borderId="8" xfId="0" applyFont="1" applyFill="1" applyBorder="1" applyAlignment="1">
      <alignment horizontal="center" vertical="center"/>
    </xf>
    <xf numFmtId="0" fontId="13" fillId="3" borderId="21" xfId="0" applyFont="1" applyFill="1" applyBorder="1" applyAlignment="1">
      <alignment horizontal="center" vertical="center"/>
    </xf>
    <xf numFmtId="0" fontId="13" fillId="3" borderId="9" xfId="0" applyFont="1" applyFill="1" applyBorder="1" applyAlignment="1">
      <alignment horizontal="center" vertical="center"/>
    </xf>
  </cellXfs>
  <cellStyles count="5">
    <cellStyle name="Comma" xfId="3" builtinId="3"/>
    <cellStyle name="Normal" xfId="0" builtinId="0" customBuiltin="1"/>
    <cellStyle name="Normal 2" xfId="4" xr:uid="{409CD85B-0D83-4062-96C0-12DDC5C32F89}"/>
    <cellStyle name="Percent" xfId="1" builtinId="5" customBuiltin="1"/>
    <cellStyle name="Warning Text" xfId="2" builtinId="11" customBuiltin="1"/>
  </cellStyles>
  <dxfs count="14">
    <dxf>
      <fill>
        <patternFill>
          <bgColor rgb="FFFF0000"/>
        </patternFill>
      </fill>
    </dxf>
    <dxf>
      <fill>
        <patternFill>
          <bgColor rgb="FFFFC000"/>
        </patternFill>
      </fill>
    </dxf>
    <dxf>
      <font>
        <color theme="0"/>
      </font>
    </dxf>
    <dxf>
      <font>
        <color theme="0"/>
      </font>
      <fill>
        <patternFill patternType="none">
          <bgColor auto="1"/>
        </patternFill>
      </fill>
    </dxf>
    <dxf>
      <font>
        <color theme="0"/>
      </font>
    </dxf>
    <dxf>
      <font>
        <color theme="0"/>
      </font>
    </dxf>
    <dxf>
      <fill>
        <patternFill>
          <bgColor rgb="FFFF0000"/>
        </patternFill>
      </fill>
    </dxf>
    <dxf>
      <font>
        <color theme="0"/>
      </font>
    </dxf>
    <dxf>
      <font>
        <color theme="0"/>
      </font>
      <fill>
        <patternFill patternType="none">
          <bgColor auto="1"/>
        </patternFill>
      </fill>
    </dxf>
    <dxf>
      <font>
        <color theme="0"/>
      </font>
      <fill>
        <patternFill patternType="none">
          <bgColor auto="1"/>
        </patternFill>
      </fill>
    </dxf>
    <dxf>
      <fill>
        <patternFill>
          <bgColor rgb="FFFF0000"/>
        </patternFill>
      </fill>
    </dxf>
    <dxf>
      <font>
        <color theme="0"/>
      </font>
    </dxf>
    <dxf>
      <fill>
        <patternFill patternType="none">
          <bgColor auto="1"/>
        </patternFill>
      </fill>
    </dxf>
    <dxf>
      <fill>
        <patternFill>
          <bgColor rgb="FFFF0000"/>
        </patternFill>
      </fill>
    </dxf>
  </dxfs>
  <tableStyles count="0" defaultTableStyle="TableStyleMedium2" defaultPivotStyle="PivotStyleLight16"/>
  <colors>
    <mruColors>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9525</xdr:rowOff>
    </xdr:from>
    <xdr:ext cx="539998" cy="539998"/>
    <xdr:pic>
      <xdr:nvPicPr>
        <xdr:cNvPr id="2" name="Picture 15" descr="IEC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rcRect/>
        <a:stretch>
          <a:fillRect/>
        </a:stretch>
      </xdr:blipFill>
      <xdr:spPr>
        <a:xfrm>
          <a:off x="428625" y="180975"/>
          <a:ext cx="539998" cy="539998"/>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9525</xdr:colOff>
      <xdr:row>1</xdr:row>
      <xdr:rowOff>0</xdr:rowOff>
    </xdr:from>
    <xdr:ext cx="539998" cy="539998"/>
    <xdr:pic>
      <xdr:nvPicPr>
        <xdr:cNvPr id="3" name="Picture 15" descr="IEC logo">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rcRect/>
        <a:stretch>
          <a:fillRect/>
        </a:stretch>
      </xdr:blipFill>
      <xdr:spPr>
        <a:xfrm>
          <a:off x="771525" y="161925"/>
          <a:ext cx="539998" cy="539998"/>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9525</xdr:colOff>
      <xdr:row>1</xdr:row>
      <xdr:rowOff>9525</xdr:rowOff>
    </xdr:from>
    <xdr:ext cx="539998" cy="539998"/>
    <xdr:pic>
      <xdr:nvPicPr>
        <xdr:cNvPr id="3" name="Picture 15" descr="IEC logo">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rcRect/>
        <a:stretch>
          <a:fillRect/>
        </a:stretch>
      </xdr:blipFill>
      <xdr:spPr>
        <a:xfrm>
          <a:off x="495300" y="180975"/>
          <a:ext cx="539998" cy="539998"/>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C57"/>
  <sheetViews>
    <sheetView tabSelected="1" workbookViewId="0">
      <selection activeCell="H48" sqref="H48"/>
    </sheetView>
  </sheetViews>
  <sheetFormatPr defaultColWidth="11.42578125" defaultRowHeight="12.75" x14ac:dyDescent="0.2"/>
  <cols>
    <col min="1" max="1" width="6.42578125" customWidth="1"/>
    <col min="2" max="2" width="62.7109375" customWidth="1"/>
    <col min="3" max="3" width="34.28515625" customWidth="1"/>
    <col min="4" max="4" width="11.42578125" customWidth="1"/>
  </cols>
  <sheetData>
    <row r="1" spans="1:3" ht="13.5" thickBot="1" x14ac:dyDescent="0.25"/>
    <row r="2" spans="1:3" ht="51" customHeight="1" thickBot="1" x14ac:dyDescent="0.25">
      <c r="B2" s="1"/>
      <c r="C2" s="2" t="s">
        <v>205</v>
      </c>
    </row>
    <row r="3" spans="1:3" x14ac:dyDescent="0.2">
      <c r="B3" s="3"/>
      <c r="C3" s="102"/>
    </row>
    <row r="4" spans="1:3" ht="15" x14ac:dyDescent="0.2">
      <c r="B4" s="4" t="s">
        <v>0</v>
      </c>
    </row>
    <row r="8" spans="1:3" x14ac:dyDescent="0.2">
      <c r="A8" s="5">
        <v>1</v>
      </c>
      <c r="B8" s="5" t="s">
        <v>1</v>
      </c>
    </row>
    <row r="9" spans="1:3" x14ac:dyDescent="0.2">
      <c r="B9" t="s">
        <v>160</v>
      </c>
    </row>
    <row r="10" spans="1:3" x14ac:dyDescent="0.2">
      <c r="B10" t="s">
        <v>161</v>
      </c>
    </row>
    <row r="12" spans="1:3" x14ac:dyDescent="0.2">
      <c r="A12" s="5">
        <v>2</v>
      </c>
      <c r="B12" s="5" t="s">
        <v>2</v>
      </c>
    </row>
    <row r="13" spans="1:3" x14ac:dyDescent="0.2">
      <c r="B13" t="s">
        <v>3</v>
      </c>
    </row>
    <row r="14" spans="1:3" x14ac:dyDescent="0.2">
      <c r="B14" s="6" t="s">
        <v>4</v>
      </c>
    </row>
    <row r="15" spans="1:3" x14ac:dyDescent="0.2">
      <c r="B15" t="s">
        <v>83</v>
      </c>
    </row>
    <row r="16" spans="1:3" x14ac:dyDescent="0.2">
      <c r="B16" s="6" t="s">
        <v>5</v>
      </c>
    </row>
    <row r="17" spans="1:3" x14ac:dyDescent="0.2">
      <c r="B17" t="s">
        <v>162</v>
      </c>
    </row>
    <row r="18" spans="1:3" x14ac:dyDescent="0.2">
      <c r="B18" s="136" t="s">
        <v>163</v>
      </c>
    </row>
    <row r="19" spans="1:3" x14ac:dyDescent="0.2">
      <c r="B19" t="s">
        <v>84</v>
      </c>
    </row>
    <row r="20" spans="1:3" x14ac:dyDescent="0.2">
      <c r="B20" s="103" t="s">
        <v>6</v>
      </c>
      <c r="C20" s="93"/>
    </row>
    <row r="21" spans="1:3" x14ac:dyDescent="0.2">
      <c r="B21" s="93" t="s">
        <v>183</v>
      </c>
      <c r="C21" s="93"/>
    </row>
    <row r="22" spans="1:3" x14ac:dyDescent="0.2">
      <c r="B22" s="97" t="s">
        <v>112</v>
      </c>
      <c r="C22" s="93"/>
    </row>
    <row r="23" spans="1:3" x14ac:dyDescent="0.2">
      <c r="B23" s="93"/>
      <c r="C23" s="93"/>
    </row>
    <row r="24" spans="1:3" x14ac:dyDescent="0.2">
      <c r="A24" s="5">
        <v>3</v>
      </c>
      <c r="B24" s="97" t="s">
        <v>7</v>
      </c>
      <c r="C24" s="93"/>
    </row>
    <row r="25" spans="1:3" x14ac:dyDescent="0.2">
      <c r="B25" s="93" t="s">
        <v>191</v>
      </c>
      <c r="C25" s="93"/>
    </row>
    <row r="26" spans="1:3" x14ac:dyDescent="0.2">
      <c r="B26" s="93" t="s">
        <v>85</v>
      </c>
      <c r="C26" s="93"/>
    </row>
    <row r="27" spans="1:3" x14ac:dyDescent="0.2">
      <c r="B27" s="93" t="s">
        <v>187</v>
      </c>
      <c r="C27" s="93"/>
    </row>
    <row r="28" spans="1:3" x14ac:dyDescent="0.2">
      <c r="B28" s="139" t="s">
        <v>172</v>
      </c>
      <c r="C28" s="93"/>
    </row>
    <row r="29" spans="1:3" x14ac:dyDescent="0.2">
      <c r="B29" s="93" t="s">
        <v>188</v>
      </c>
      <c r="C29" s="93"/>
    </row>
    <row r="30" spans="1:3" x14ac:dyDescent="0.2">
      <c r="B30" s="93" t="s">
        <v>86</v>
      </c>
      <c r="C30" s="93"/>
    </row>
    <row r="31" spans="1:3" x14ac:dyDescent="0.2">
      <c r="B31" s="93" t="s">
        <v>87</v>
      </c>
      <c r="C31" s="93"/>
    </row>
    <row r="32" spans="1:3" x14ac:dyDescent="0.2">
      <c r="B32" s="93" t="s">
        <v>88</v>
      </c>
      <c r="C32" s="93"/>
    </row>
    <row r="33" spans="1:3" x14ac:dyDescent="0.2">
      <c r="B33" s="93" t="s">
        <v>174</v>
      </c>
      <c r="C33" s="93"/>
    </row>
    <row r="34" spans="1:3" x14ac:dyDescent="0.2">
      <c r="B34" s="93" t="s">
        <v>192</v>
      </c>
      <c r="C34" s="93"/>
    </row>
    <row r="35" spans="1:3" x14ac:dyDescent="0.2">
      <c r="B35" s="93" t="s">
        <v>175</v>
      </c>
      <c r="C35" s="93"/>
    </row>
    <row r="36" spans="1:3" x14ac:dyDescent="0.2">
      <c r="B36" s="139" t="s">
        <v>173</v>
      </c>
      <c r="C36" s="93"/>
    </row>
    <row r="37" spans="1:3" x14ac:dyDescent="0.2">
      <c r="B37" s="139" t="s">
        <v>176</v>
      </c>
      <c r="C37" s="93"/>
    </row>
    <row r="38" spans="1:3" x14ac:dyDescent="0.2">
      <c r="B38" s="139" t="s">
        <v>177</v>
      </c>
      <c r="C38" s="93"/>
    </row>
    <row r="39" spans="1:3" x14ac:dyDescent="0.2">
      <c r="B39" s="93" t="s">
        <v>184</v>
      </c>
      <c r="C39" s="93"/>
    </row>
    <row r="40" spans="1:3" x14ac:dyDescent="0.2">
      <c r="B40" s="93"/>
      <c r="C40" s="93"/>
    </row>
    <row r="41" spans="1:3" x14ac:dyDescent="0.2">
      <c r="A41" s="5">
        <v>4</v>
      </c>
      <c r="B41" s="97" t="s">
        <v>8</v>
      </c>
      <c r="C41" s="93"/>
    </row>
    <row r="42" spans="1:3" x14ac:dyDescent="0.2">
      <c r="A42" s="5"/>
      <c r="B42" s="93" t="s">
        <v>206</v>
      </c>
      <c r="C42" s="93"/>
    </row>
    <row r="43" spans="1:3" x14ac:dyDescent="0.2">
      <c r="A43" s="5"/>
      <c r="B43" s="93" t="s">
        <v>9</v>
      </c>
      <c r="C43" s="93"/>
    </row>
    <row r="44" spans="1:3" x14ac:dyDescent="0.2">
      <c r="A44" s="5"/>
      <c r="B44" s="104" t="s">
        <v>164</v>
      </c>
      <c r="C44" s="93"/>
    </row>
    <row r="45" spans="1:3" x14ac:dyDescent="0.2">
      <c r="A45" s="5"/>
      <c r="B45" s="138" t="s">
        <v>169</v>
      </c>
      <c r="C45" s="93"/>
    </row>
    <row r="46" spans="1:3" s="45" customFormat="1" x14ac:dyDescent="0.2">
      <c r="A46" s="86"/>
      <c r="B46" s="105" t="s">
        <v>165</v>
      </c>
      <c r="C46" s="106"/>
    </row>
    <row r="47" spans="1:3" x14ac:dyDescent="0.2">
      <c r="A47" s="5"/>
      <c r="B47" s="104" t="s">
        <v>168</v>
      </c>
      <c r="C47" s="93"/>
    </row>
    <row r="48" spans="1:3" x14ac:dyDescent="0.2">
      <c r="A48" s="5"/>
      <c r="B48" s="104" t="s">
        <v>166</v>
      </c>
      <c r="C48" s="93"/>
    </row>
    <row r="49" spans="1:3" x14ac:dyDescent="0.2">
      <c r="A49" s="5"/>
      <c r="B49" s="104" t="s">
        <v>167</v>
      </c>
      <c r="C49" s="93"/>
    </row>
    <row r="50" spans="1:3" x14ac:dyDescent="0.2">
      <c r="A50" s="137"/>
      <c r="B50" s="138" t="s">
        <v>170</v>
      </c>
      <c r="C50" s="93"/>
    </row>
    <row r="51" spans="1:3" x14ac:dyDescent="0.2">
      <c r="A51" s="137"/>
      <c r="B51" s="138" t="s">
        <v>207</v>
      </c>
      <c r="C51" s="93"/>
    </row>
    <row r="52" spans="1:3" x14ac:dyDescent="0.2">
      <c r="A52" s="137"/>
      <c r="B52" s="138" t="s">
        <v>171</v>
      </c>
      <c r="C52" s="93"/>
    </row>
    <row r="53" spans="1:3" x14ac:dyDescent="0.2">
      <c r="A53" s="137"/>
      <c r="B53" s="139"/>
      <c r="C53" s="93"/>
    </row>
    <row r="54" spans="1:3" x14ac:dyDescent="0.2">
      <c r="A54" s="5">
        <v>5</v>
      </c>
      <c r="B54" s="5" t="s">
        <v>10</v>
      </c>
    </row>
    <row r="55" spans="1:3" ht="42" customHeight="1" x14ac:dyDescent="0.2">
      <c r="B55" s="151" t="s">
        <v>89</v>
      </c>
      <c r="C55" s="151"/>
    </row>
    <row r="57" spans="1:3" ht="39.75" customHeight="1" x14ac:dyDescent="0.2"/>
  </sheetData>
  <mergeCells count="1">
    <mergeCell ref="B55:C55"/>
  </mergeCells>
  <pageMargins left="0.23622047244094491" right="0.23622047244094491" top="2.1259842519685042" bottom="0.74803149606299213" header="0.31496062992125984" footer="0.31496062992125984"/>
  <pageSetup paperSize="9" scale="88" fitToWidth="0" fitToHeight="0" orientation="portrait" r:id="rId1"/>
  <headerFooter>
    <oddHeader>&amp;C&amp;F</oddHeader>
    <oddFooter>&amp;CIEC 61282-14 Supplemental Data for Section 8</oddFooter>
    <evenHeader>&amp;C&amp;F</evenHeader>
    <evenFooter>&amp;CIEC 61282-14 Supplemental Data for Section 8</evenFooter>
    <firstHeader>&amp;C&amp;F</firstHeader>
    <firstFooter>&amp;CIEC 61282-14 Supplemental Data for Section 8</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B74"/>
  <sheetViews>
    <sheetView topLeftCell="B1" zoomScaleNormal="100" workbookViewId="0">
      <selection activeCell="L8" sqref="L7:L8"/>
    </sheetView>
  </sheetViews>
  <sheetFormatPr defaultColWidth="11.42578125" defaultRowHeight="12.75" x14ac:dyDescent="0.2"/>
  <cols>
    <col min="1" max="1" width="11.42578125" customWidth="1"/>
    <col min="2" max="2" width="80.5703125" customWidth="1"/>
    <col min="3" max="4" width="12.28515625" customWidth="1"/>
    <col min="5" max="5" width="4.7109375" customWidth="1"/>
    <col min="6" max="6" width="13.28515625" customWidth="1"/>
    <col min="7" max="7" width="6" customWidth="1"/>
    <col min="8" max="8" width="6.5703125" customWidth="1"/>
    <col min="9" max="9" width="11.42578125" customWidth="1"/>
    <col min="10" max="10" width="5.7109375" customWidth="1"/>
    <col min="11" max="11" width="11.42578125" customWidth="1"/>
    <col min="12" max="12" width="13.28515625" customWidth="1"/>
  </cols>
  <sheetData>
    <row r="1" spans="2:28" ht="13.5" thickBot="1" x14ac:dyDescent="0.25"/>
    <row r="2" spans="2:28" ht="37.5" customHeight="1" thickBot="1" x14ac:dyDescent="0.25">
      <c r="B2" s="164" t="s">
        <v>143</v>
      </c>
      <c r="C2" s="164"/>
      <c r="D2" s="164"/>
      <c r="E2" s="164"/>
      <c r="F2" s="164"/>
      <c r="G2" s="81"/>
      <c r="H2" s="81"/>
      <c r="I2" s="165" t="s">
        <v>205</v>
      </c>
      <c r="J2" s="166"/>
      <c r="K2" s="166"/>
      <c r="L2" s="167"/>
      <c r="N2" s="93"/>
      <c r="O2" s="93"/>
      <c r="P2" s="93"/>
      <c r="Q2" s="93"/>
      <c r="R2" s="93"/>
      <c r="S2" s="93"/>
      <c r="T2" s="93"/>
      <c r="U2" s="93"/>
      <c r="V2" s="93"/>
      <c r="W2" s="93"/>
      <c r="X2" s="93"/>
      <c r="Y2" s="93"/>
      <c r="Z2" s="93"/>
      <c r="AA2" s="93"/>
      <c r="AB2" s="93"/>
    </row>
    <row r="3" spans="2:28" ht="12.75" customHeight="1" thickBot="1" x14ac:dyDescent="0.25">
      <c r="B3" s="101"/>
      <c r="C3" s="80"/>
      <c r="D3" s="80"/>
      <c r="E3" s="80"/>
      <c r="F3" s="80"/>
      <c r="G3" s="80"/>
      <c r="H3" s="80"/>
      <c r="I3" s="80"/>
      <c r="J3" s="80"/>
      <c r="K3" s="80"/>
      <c r="L3" s="80"/>
      <c r="N3" s="93"/>
      <c r="O3" s="93"/>
      <c r="P3" s="93"/>
      <c r="Q3" s="93"/>
      <c r="R3" s="93"/>
      <c r="S3" s="93"/>
      <c r="T3" s="93"/>
      <c r="U3" s="93"/>
      <c r="V3" s="93"/>
      <c r="W3" s="93"/>
      <c r="X3" s="93"/>
      <c r="Y3" s="93"/>
      <c r="Z3" s="93"/>
      <c r="AA3" s="93"/>
      <c r="AB3" s="93"/>
    </row>
    <row r="4" spans="2:28" ht="13.5" thickBot="1" x14ac:dyDescent="0.25">
      <c r="F4" s="169" t="s">
        <v>11</v>
      </c>
      <c r="G4" s="169"/>
      <c r="H4" s="169"/>
      <c r="I4" s="169"/>
      <c r="J4" s="169"/>
      <c r="K4" s="169"/>
      <c r="N4" s="93"/>
      <c r="O4" s="93"/>
      <c r="P4" s="93"/>
      <c r="Q4" s="93"/>
      <c r="R4" s="93"/>
      <c r="S4" s="93"/>
      <c r="T4" s="93"/>
      <c r="U4" s="93"/>
      <c r="V4" s="93"/>
      <c r="W4" s="93"/>
      <c r="X4" s="93"/>
      <c r="Y4" s="93"/>
      <c r="Z4" s="93"/>
      <c r="AA4" s="93"/>
      <c r="AB4" s="93"/>
    </row>
    <row r="5" spans="2:28" ht="15.75" customHeight="1" thickBot="1" x14ac:dyDescent="0.3">
      <c r="C5" s="91" t="s">
        <v>105</v>
      </c>
      <c r="D5" s="92" t="s">
        <v>106</v>
      </c>
      <c r="F5" s="160" t="s">
        <v>12</v>
      </c>
      <c r="G5" s="160"/>
      <c r="H5" s="160"/>
      <c r="I5" s="160"/>
      <c r="J5" s="168" t="s">
        <v>139</v>
      </c>
      <c r="K5" s="168"/>
      <c r="M5" s="7"/>
      <c r="N5" s="93"/>
      <c r="O5" s="93"/>
      <c r="P5" s="93"/>
      <c r="Q5" s="93"/>
      <c r="R5" s="93"/>
      <c r="S5" s="93"/>
      <c r="T5" s="93"/>
      <c r="U5" s="93"/>
      <c r="V5" s="93"/>
      <c r="W5" s="93"/>
      <c r="X5" s="93"/>
      <c r="Y5" s="93"/>
      <c r="Z5" s="93"/>
      <c r="AA5" s="93"/>
      <c r="AB5" s="93"/>
    </row>
    <row r="6" spans="2:28" ht="15.75" customHeight="1" thickBot="1" x14ac:dyDescent="0.25">
      <c r="B6" s="8" t="str">
        <f>B21</f>
        <v>Uncertainties due to measuring instruments</v>
      </c>
      <c r="C6" s="9">
        <f>K42</f>
        <v>4.8919899944606851</v>
      </c>
      <c r="D6" s="10">
        <f>C6^2</f>
        <v>23.931566105903453</v>
      </c>
      <c r="F6" s="160" t="s">
        <v>13</v>
      </c>
      <c r="G6" s="160"/>
      <c r="H6" s="160"/>
      <c r="I6" s="160"/>
      <c r="J6" s="168" t="s">
        <v>199</v>
      </c>
      <c r="K6" s="168"/>
      <c r="M6" s="11"/>
      <c r="N6" s="93"/>
      <c r="O6" s="93"/>
      <c r="P6" s="93"/>
      <c r="Q6" s="93"/>
      <c r="R6" s="93"/>
      <c r="S6" s="93"/>
      <c r="T6" s="93"/>
      <c r="U6" s="93"/>
      <c r="V6" s="93"/>
      <c r="W6" s="93"/>
      <c r="X6" s="93"/>
      <c r="Y6" s="93"/>
      <c r="Z6" s="93"/>
      <c r="AA6" s="93"/>
      <c r="AB6" s="93"/>
    </row>
    <row r="7" spans="2:28" ht="15.75" customHeight="1" thickBot="1" x14ac:dyDescent="0.25">
      <c r="B7" s="8" t="str">
        <f>B43</f>
        <v>Relative uncertainty due to the setup</v>
      </c>
      <c r="C7" s="9">
        <f>K53</f>
        <v>1.3279056191361396</v>
      </c>
      <c r="D7" s="10">
        <f>C7^2</f>
        <v>1.7633333333333341</v>
      </c>
      <c r="F7" s="155" t="s">
        <v>137</v>
      </c>
      <c r="G7" s="156"/>
      <c r="H7" s="156"/>
      <c r="I7" s="156"/>
      <c r="J7" s="157">
        <v>1</v>
      </c>
      <c r="K7" s="157"/>
      <c r="T7" s="93"/>
      <c r="U7" s="93"/>
      <c r="V7" s="93"/>
      <c r="W7" s="93"/>
      <c r="X7" s="93"/>
      <c r="Y7" s="93"/>
      <c r="Z7" s="93"/>
      <c r="AA7" s="93"/>
      <c r="AB7" s="93"/>
    </row>
    <row r="8" spans="2:28" ht="15.75" customHeight="1" thickBot="1" x14ac:dyDescent="0.25">
      <c r="B8" s="8" t="str">
        <f>B54</f>
        <v>Relative uncertainties due to cabling</v>
      </c>
      <c r="C8" s="9">
        <f>K65</f>
        <v>4.968211716167767</v>
      </c>
      <c r="D8" s="10">
        <f>C8^2</f>
        <v>24.68312765666667</v>
      </c>
      <c r="F8" s="160" t="s">
        <v>15</v>
      </c>
      <c r="G8" s="160"/>
      <c r="H8" s="160"/>
      <c r="I8" s="160"/>
      <c r="J8" s="59">
        <v>1310</v>
      </c>
      <c r="K8" s="12" t="s">
        <v>16</v>
      </c>
      <c r="N8" s="93"/>
      <c r="O8" s="93"/>
      <c r="P8" s="94"/>
      <c r="Q8" s="93"/>
      <c r="R8" s="93"/>
      <c r="S8" s="93"/>
      <c r="T8" s="93"/>
      <c r="U8" s="93"/>
      <c r="V8" s="93"/>
      <c r="W8" s="93"/>
      <c r="X8" s="93"/>
      <c r="Y8" s="93"/>
      <c r="Z8" s="93"/>
      <c r="AA8" s="93"/>
      <c r="AB8" s="93"/>
    </row>
    <row r="9" spans="2:28" ht="15.75" customHeight="1" thickBot="1" x14ac:dyDescent="0.25">
      <c r="B9" s="13" t="s">
        <v>111</v>
      </c>
      <c r="C9" s="14"/>
      <c r="D9" s="15">
        <f>SQRT((D6)+(D7)+(D8))</f>
        <v>7.0977480298967688</v>
      </c>
      <c r="E9" s="16"/>
      <c r="F9" s="160" t="s">
        <v>17</v>
      </c>
      <c r="G9" s="160"/>
      <c r="H9" s="160"/>
      <c r="I9" s="160"/>
      <c r="J9" s="74">
        <v>30</v>
      </c>
      <c r="K9" s="18" t="s">
        <v>16</v>
      </c>
      <c r="L9" s="19"/>
      <c r="M9" s="20"/>
      <c r="N9" s="93"/>
      <c r="O9" s="93"/>
      <c r="P9" s="94"/>
      <c r="Q9" s="93"/>
      <c r="R9" s="93"/>
      <c r="S9" s="93"/>
      <c r="T9" s="93"/>
      <c r="U9" s="93"/>
      <c r="V9" s="93"/>
      <c r="W9" s="93"/>
      <c r="X9" s="93"/>
      <c r="Y9" s="93"/>
      <c r="Z9" s="93"/>
      <c r="AA9" s="93"/>
      <c r="AB9" s="93"/>
    </row>
    <row r="10" spans="2:28" ht="15.75" customHeight="1" thickBot="1" x14ac:dyDescent="0.25">
      <c r="B10" s="21" t="s">
        <v>81</v>
      </c>
      <c r="C10" s="22"/>
      <c r="D10" s="72">
        <f>IF(L68&gt;49,2,IF(ROUNDDOWN(L68,0)-L68=0,TINV(0.05,L68),(L68-ROUNDDOWN(L68,0))*(TINV(0.05,ROUNDUP(L68,0))-TINV(0.05,ROUNDDOWN(L68,0)))/(ROUNDUP(L68,0)-ROUNDDOWN(L68,0))+TINV(0.05,ROUNDDOWN(L68,0))))</f>
        <v>2</v>
      </c>
      <c r="F10" s="160" t="s">
        <v>18</v>
      </c>
      <c r="G10" s="160"/>
      <c r="H10" s="160"/>
      <c r="I10" s="160"/>
      <c r="J10" s="17">
        <v>19</v>
      </c>
      <c r="K10" s="18" t="s">
        <v>19</v>
      </c>
      <c r="L10" s="19"/>
      <c r="M10" s="20"/>
      <c r="N10" s="93"/>
      <c r="O10" s="93"/>
      <c r="P10" s="94"/>
      <c r="Q10" s="93"/>
      <c r="R10" s="93"/>
      <c r="S10" s="93"/>
      <c r="T10" s="93"/>
      <c r="U10" s="93"/>
      <c r="V10" s="93"/>
      <c r="W10" s="93"/>
      <c r="X10" s="93"/>
      <c r="Y10" s="93"/>
      <c r="Z10" s="93"/>
      <c r="AA10" s="93"/>
      <c r="AB10" s="93"/>
    </row>
    <row r="11" spans="2:28" ht="15.75" customHeight="1" thickBot="1" x14ac:dyDescent="0.25">
      <c r="B11" s="23" t="s">
        <v>20</v>
      </c>
      <c r="C11" s="24"/>
      <c r="D11" s="25">
        <f>D10*D9</f>
        <v>14.195496059793538</v>
      </c>
      <c r="E11" s="16"/>
      <c r="F11" s="160" t="s">
        <v>110</v>
      </c>
      <c r="G11" s="160"/>
      <c r="H11" s="160"/>
      <c r="I11" s="160"/>
      <c r="J11" s="17">
        <v>4</v>
      </c>
      <c r="K11" s="18" t="s">
        <v>70</v>
      </c>
      <c r="L11" s="19"/>
      <c r="M11" s="20"/>
      <c r="N11" s="95"/>
      <c r="O11" s="95"/>
      <c r="P11" s="94"/>
      <c r="Q11" s="93"/>
      <c r="R11" s="93"/>
      <c r="S11" s="93"/>
      <c r="T11" s="93"/>
      <c r="U11" s="93"/>
      <c r="V11" s="93"/>
      <c r="W11" s="93"/>
      <c r="X11" s="93"/>
      <c r="Y11" s="93"/>
      <c r="Z11" s="93"/>
      <c r="AA11" s="93"/>
      <c r="AB11" s="93"/>
    </row>
    <row r="12" spans="2:28" ht="15.75" customHeight="1" thickBot="1" x14ac:dyDescent="0.25">
      <c r="B12" s="26" t="s">
        <v>109</v>
      </c>
      <c r="C12" s="27" t="s">
        <v>23</v>
      </c>
      <c r="D12" s="28">
        <f>IF(J19="Yes",D11,"NA")</f>
        <v>14.195496059793538</v>
      </c>
      <c r="F12" s="155" t="s">
        <v>119</v>
      </c>
      <c r="G12" s="156"/>
      <c r="H12" s="156"/>
      <c r="I12" s="156"/>
      <c r="J12" s="17">
        <v>3</v>
      </c>
      <c r="K12" s="18" t="s">
        <v>19</v>
      </c>
      <c r="L12" s="158" t="s">
        <v>120</v>
      </c>
      <c r="M12" s="159"/>
      <c r="N12" s="129">
        <f>5*(LOG10(1+10^((-1)*J12/5))-LOG10(1-10^((-1)*J12/5)))</f>
        <v>1.1147518560025527</v>
      </c>
      <c r="O12" s="130" t="s">
        <v>19</v>
      </c>
      <c r="P12" s="94"/>
      <c r="Q12" s="93"/>
      <c r="R12" s="93"/>
      <c r="S12" s="93"/>
      <c r="T12" s="93"/>
      <c r="U12" s="93"/>
      <c r="V12" s="93"/>
      <c r="W12" s="93"/>
      <c r="X12" s="93"/>
      <c r="Y12" s="93"/>
      <c r="Z12" s="93"/>
      <c r="AA12" s="93"/>
      <c r="AB12" s="93"/>
    </row>
    <row r="13" spans="2:28" ht="15.75" customHeight="1" thickBot="1" x14ac:dyDescent="0.25">
      <c r="C13" s="29" t="s">
        <v>19</v>
      </c>
      <c r="D13" s="30">
        <f>IF(J19="yes",0.0434*D12,"NA")</f>
        <v>0.61608452899503952</v>
      </c>
      <c r="E13" s="5"/>
      <c r="F13" s="155" t="s">
        <v>121</v>
      </c>
      <c r="G13" s="156"/>
      <c r="H13" s="156"/>
      <c r="I13" s="156"/>
      <c r="J13" s="17">
        <v>100</v>
      </c>
      <c r="K13" s="18" t="s">
        <v>122</v>
      </c>
      <c r="L13" s="130"/>
      <c r="M13" s="130"/>
      <c r="N13" s="130"/>
      <c r="O13" s="130"/>
      <c r="P13" s="96"/>
      <c r="Q13" s="93"/>
      <c r="R13" s="93"/>
      <c r="S13" s="93"/>
      <c r="T13" s="93"/>
      <c r="U13" s="93"/>
      <c r="V13" s="93"/>
      <c r="W13" s="93"/>
      <c r="X13" s="93"/>
      <c r="Y13" s="93"/>
      <c r="Z13" s="93"/>
      <c r="AA13" s="93"/>
      <c r="AB13" s="93"/>
    </row>
    <row r="14" spans="2:28" ht="13.5" thickBot="1" x14ac:dyDescent="0.25">
      <c r="B14" s="134" t="str">
        <f>IF(AND(J5="Method C",OR(J19="YES",J19="Assymetrical noise")),"Over evaluation versus measurement at 1550 nm","")</f>
        <v/>
      </c>
      <c r="C14" s="29" t="str">
        <f>IF(AND(J5="Method C",OR(J19="YES",J19="Assymetrical noise")),"dB","")</f>
        <v/>
      </c>
      <c r="D14" s="30" t="str">
        <f>IF(AND(J5="Method C",OR(J19="YES",J19="Assymetrical noise")),IF(J8&lt;1637,0.014*J11,0.039*J11),"")</f>
        <v/>
      </c>
      <c r="F14" s="155" t="s">
        <v>123</v>
      </c>
      <c r="G14" s="156"/>
      <c r="H14" s="156"/>
      <c r="I14" s="156"/>
      <c r="J14" s="17">
        <v>1</v>
      </c>
      <c r="K14" s="18" t="s">
        <v>122</v>
      </c>
      <c r="L14" s="158" t="s">
        <v>124</v>
      </c>
      <c r="M14" s="162"/>
      <c r="N14" s="131">
        <f>TRUNC(J13/J14)</f>
        <v>100</v>
      </c>
      <c r="O14" s="130"/>
      <c r="P14" s="93"/>
      <c r="Q14" s="93"/>
      <c r="R14" s="93"/>
      <c r="S14" s="93"/>
      <c r="T14" s="93"/>
      <c r="U14" s="93"/>
      <c r="V14" s="93"/>
      <c r="W14" s="93"/>
      <c r="X14" s="93"/>
      <c r="Y14" s="93"/>
      <c r="Z14" s="93"/>
      <c r="AA14" s="93"/>
      <c r="AB14" s="93"/>
    </row>
    <row r="15" spans="2:28" ht="13.5" thickBot="1" x14ac:dyDescent="0.25">
      <c r="F15" s="160" t="s">
        <v>14</v>
      </c>
      <c r="G15" s="160"/>
      <c r="H15" s="160"/>
      <c r="I15" s="160"/>
      <c r="J15" s="168">
        <v>1</v>
      </c>
      <c r="K15" s="168"/>
      <c r="P15" s="93"/>
      <c r="Q15" s="93"/>
      <c r="R15" s="93"/>
      <c r="S15" s="93"/>
      <c r="T15" s="93"/>
      <c r="U15" s="93"/>
      <c r="V15" s="93"/>
      <c r="W15" s="93"/>
      <c r="X15" s="93"/>
      <c r="Y15" s="93"/>
      <c r="Z15" s="93"/>
      <c r="AA15" s="93"/>
      <c r="AB15" s="93"/>
    </row>
    <row r="16" spans="2:28" ht="13.5" thickBot="1" x14ac:dyDescent="0.25">
      <c r="F16" s="160" t="s">
        <v>200</v>
      </c>
      <c r="G16" s="161"/>
      <c r="H16" s="161"/>
      <c r="I16" s="161"/>
      <c r="J16" s="17">
        <v>0.1</v>
      </c>
      <c r="K16" s="18" t="s">
        <v>19</v>
      </c>
      <c r="P16" s="93"/>
      <c r="Q16" s="93"/>
      <c r="R16" s="93"/>
      <c r="S16" s="93"/>
      <c r="T16" s="93"/>
      <c r="U16" s="93"/>
      <c r="V16" s="93"/>
      <c r="W16" s="93"/>
      <c r="X16" s="93"/>
      <c r="Y16" s="93"/>
      <c r="Z16" s="93"/>
      <c r="AA16" s="93"/>
      <c r="AB16" s="93"/>
    </row>
    <row r="17" spans="1:28" ht="13.5" thickBot="1" x14ac:dyDescent="0.25">
      <c r="F17" s="160" t="s">
        <v>21</v>
      </c>
      <c r="G17" s="160"/>
      <c r="H17" s="160"/>
      <c r="I17" s="160"/>
      <c r="J17" s="17">
        <v>-7</v>
      </c>
      <c r="K17" s="18" t="s">
        <v>22</v>
      </c>
      <c r="L17" s="127"/>
      <c r="M17" s="128"/>
      <c r="N17" s="46"/>
      <c r="O17" s="45"/>
      <c r="P17" s="93"/>
      <c r="Q17" s="93"/>
      <c r="R17" s="93"/>
      <c r="S17" s="93"/>
      <c r="T17" s="93"/>
      <c r="U17" s="93"/>
      <c r="V17" s="93"/>
      <c r="W17" s="93"/>
      <c r="X17" s="93"/>
      <c r="Y17" s="93"/>
      <c r="Z17" s="93"/>
      <c r="AA17" s="93"/>
      <c r="AB17" s="93"/>
    </row>
    <row r="18" spans="1:28" ht="13.5" thickBot="1" x14ac:dyDescent="0.25">
      <c r="D18" s="30"/>
      <c r="L18" s="127"/>
      <c r="M18" s="128"/>
      <c r="N18" s="46"/>
      <c r="O18" s="45"/>
      <c r="P18" s="93"/>
      <c r="Q18" s="93"/>
      <c r="R18" s="93"/>
      <c r="S18" s="93"/>
      <c r="T18" s="93"/>
      <c r="U18" s="93"/>
      <c r="V18" s="93"/>
      <c r="W18" s="93"/>
      <c r="X18" s="93"/>
      <c r="Y18" s="93"/>
      <c r="Z18" s="93"/>
      <c r="AA18" s="93"/>
      <c r="AB18" s="93"/>
    </row>
    <row r="19" spans="1:28" ht="13.5" thickBot="1" x14ac:dyDescent="0.25">
      <c r="D19" s="30"/>
      <c r="F19" s="163" t="s">
        <v>54</v>
      </c>
      <c r="G19" s="163"/>
      <c r="H19" s="163"/>
      <c r="I19" s="163"/>
      <c r="J19" s="170" t="str">
        <f>IF(Uncertainties_estimation!J5="Method A",IF(Uncertainties_estimation!J10&gt;0.25*Uncertainties_estimation!J11,"Yes","No"),IF(OR(J5="Method B",AND(J5="Method C",J8&gt;1609.9)),IF(J12&lt;2.6,IF(J12&lt;0.55,"No","Assymetrical noise"),"Yes"),"No"))</f>
        <v>Yes</v>
      </c>
      <c r="K19" s="171"/>
      <c r="L19" s="127"/>
      <c r="M19" s="128"/>
      <c r="N19" s="46"/>
      <c r="O19" s="45"/>
      <c r="P19" s="93"/>
      <c r="Q19" s="93"/>
      <c r="R19" s="93"/>
      <c r="S19" s="93"/>
      <c r="T19" s="93"/>
      <c r="U19" s="93"/>
      <c r="V19" s="93"/>
      <c r="W19" s="93"/>
      <c r="X19" s="93"/>
      <c r="Y19" s="93"/>
      <c r="Z19" s="93"/>
      <c r="AA19" s="93"/>
      <c r="AB19" s="93"/>
    </row>
    <row r="20" spans="1:28" x14ac:dyDescent="0.2">
      <c r="C20" s="31"/>
      <c r="D20" s="31"/>
      <c r="N20" s="93"/>
      <c r="O20" s="93"/>
      <c r="P20" s="93"/>
      <c r="Q20" s="93"/>
      <c r="R20" s="93"/>
      <c r="S20" s="93"/>
      <c r="T20" s="93"/>
      <c r="U20" s="93"/>
      <c r="V20" s="93"/>
      <c r="W20" s="93"/>
      <c r="X20" s="93"/>
      <c r="Y20" s="93"/>
      <c r="Z20" s="93"/>
      <c r="AA20" s="93"/>
      <c r="AB20" s="93"/>
    </row>
    <row r="21" spans="1:28" x14ac:dyDescent="0.2">
      <c r="B21" s="32" t="s">
        <v>25</v>
      </c>
      <c r="C21" s="29"/>
      <c r="D21" s="29"/>
      <c r="N21" s="93"/>
      <c r="O21" s="93"/>
      <c r="P21" s="93"/>
      <c r="Q21" s="93"/>
      <c r="R21" s="93"/>
      <c r="S21" s="93"/>
      <c r="T21" s="93"/>
      <c r="U21" s="93"/>
      <c r="V21" s="93"/>
      <c r="W21" s="93"/>
      <c r="X21" s="93"/>
      <c r="Y21" s="93"/>
      <c r="Z21" s="93"/>
      <c r="AA21" s="93"/>
      <c r="AB21" s="93"/>
    </row>
    <row r="22" spans="1:28" s="5" customFormat="1" ht="51" x14ac:dyDescent="0.2">
      <c r="B22" s="87" t="s">
        <v>26</v>
      </c>
      <c r="C22" s="88" t="s">
        <v>27</v>
      </c>
      <c r="D22" s="88" t="s">
        <v>28</v>
      </c>
      <c r="E22" s="87" t="s">
        <v>29</v>
      </c>
      <c r="F22" s="88" t="s">
        <v>30</v>
      </c>
      <c r="G22" s="88" t="s">
        <v>31</v>
      </c>
      <c r="H22" s="88" t="s">
        <v>75</v>
      </c>
      <c r="I22" s="88" t="s">
        <v>73</v>
      </c>
      <c r="J22" s="90" t="s">
        <v>102</v>
      </c>
      <c r="K22" s="87" t="s">
        <v>103</v>
      </c>
      <c r="L22" s="87" t="s">
        <v>104</v>
      </c>
      <c r="M22" s="86"/>
      <c r="N22" s="93"/>
      <c r="O22" s="93"/>
      <c r="P22" s="93"/>
      <c r="Q22" s="93"/>
      <c r="R22" s="93"/>
      <c r="S22" s="93"/>
      <c r="T22" s="97"/>
      <c r="U22" s="97"/>
      <c r="V22" s="97"/>
      <c r="W22" s="97"/>
      <c r="X22" s="97"/>
      <c r="Y22" s="97"/>
      <c r="Z22" s="97"/>
      <c r="AA22" s="97"/>
      <c r="AB22" s="97"/>
    </row>
    <row r="23" spans="1:28" x14ac:dyDescent="0.2">
      <c r="A23" s="154" t="s">
        <v>186</v>
      </c>
      <c r="B23" s="121" t="s">
        <v>125</v>
      </c>
      <c r="C23" s="122" t="s">
        <v>159</v>
      </c>
      <c r="D23" s="39" t="s">
        <v>34</v>
      </c>
      <c r="E23" s="39" t="s">
        <v>23</v>
      </c>
      <c r="F23" s="39" t="s">
        <v>36</v>
      </c>
      <c r="G23" s="35">
        <f>Uncertainties_sources!G5</f>
        <v>2.9728564489683453</v>
      </c>
      <c r="H23" s="35">
        <f>Uncertainties_sources!I5</f>
        <v>2</v>
      </c>
      <c r="I23" s="35">
        <f>INDEX(Uncertainties_sources!D44:F44,1,MATCH(Uncertainties_estimation!J$5,Uncertainties_sources!D$42:F$42,0))</f>
        <v>1</v>
      </c>
      <c r="J23" s="36">
        <f t="shared" ref="J23:J29" si="0">G23/H23*I23</f>
        <v>1.4864282244841727</v>
      </c>
      <c r="K23" s="10">
        <f t="shared" ref="K23:K29" si="1">J23^2</f>
        <v>2.2094688665431699</v>
      </c>
      <c r="L23" s="82">
        <f>(I23*0.23*J23)^4/Uncertainties_sources!J5</f>
        <v>6.8305727477385709E-5</v>
      </c>
      <c r="M23" s="45"/>
      <c r="N23" s="150"/>
      <c r="O23" s="93"/>
      <c r="P23" s="93"/>
      <c r="Q23" s="93"/>
      <c r="R23" s="93"/>
      <c r="S23" s="93"/>
      <c r="T23" s="93"/>
      <c r="U23" s="93"/>
      <c r="V23" s="93"/>
      <c r="W23" s="93"/>
      <c r="X23" s="93"/>
      <c r="Y23" s="93"/>
      <c r="Z23" s="93"/>
      <c r="AA23" s="93"/>
      <c r="AB23" s="93"/>
    </row>
    <row r="24" spans="1:28" x14ac:dyDescent="0.2">
      <c r="A24" s="154"/>
      <c r="B24" s="121" t="s">
        <v>126</v>
      </c>
      <c r="C24" s="122" t="s">
        <v>145</v>
      </c>
      <c r="D24" s="39" t="s">
        <v>34</v>
      </c>
      <c r="E24" s="39" t="s">
        <v>23</v>
      </c>
      <c r="F24" s="39" t="s">
        <v>36</v>
      </c>
      <c r="G24" s="35">
        <f>Uncertainties_sources!G6</f>
        <v>5.2184427113687688</v>
      </c>
      <c r="H24" s="35">
        <f>Uncertainties_sources!I6</f>
        <v>2</v>
      </c>
      <c r="I24" s="35">
        <f>INDEX(Uncertainties_sources!D45:F45,1,MATCH(Uncertainties_estimation!J$5,Uncertainties_sources!D$42:F$42,0))</f>
        <v>1</v>
      </c>
      <c r="J24" s="36">
        <f t="shared" si="0"/>
        <v>2.6092213556843844</v>
      </c>
      <c r="K24" s="10">
        <f t="shared" si="1"/>
        <v>6.8080360829594566</v>
      </c>
      <c r="L24" s="82">
        <f>(I24*0.23*J24)^4/Uncertainties_sources!J6</f>
        <v>6.4852249692160175E-4</v>
      </c>
      <c r="M24" s="45"/>
      <c r="N24" s="150"/>
      <c r="O24" s="93"/>
      <c r="P24" s="93"/>
      <c r="Q24" s="93"/>
      <c r="R24" s="93"/>
      <c r="S24" s="93"/>
      <c r="T24" s="93"/>
      <c r="U24" s="93"/>
      <c r="V24" s="93"/>
      <c r="W24" s="93"/>
      <c r="X24" s="93"/>
      <c r="Y24" s="93"/>
      <c r="Z24" s="93"/>
      <c r="AA24" s="93"/>
      <c r="AB24" s="93"/>
    </row>
    <row r="25" spans="1:28" x14ac:dyDescent="0.2">
      <c r="A25" s="154"/>
      <c r="B25" s="121" t="s">
        <v>127</v>
      </c>
      <c r="C25" s="122" t="s">
        <v>146</v>
      </c>
      <c r="D25" s="39" t="s">
        <v>34</v>
      </c>
      <c r="E25" s="39" t="s">
        <v>23</v>
      </c>
      <c r="F25" s="39" t="s">
        <v>35</v>
      </c>
      <c r="G25" s="35">
        <f>Uncertainties_sources!G7</f>
        <v>1.1500000000000001</v>
      </c>
      <c r="H25" s="35">
        <f>Uncertainties_sources!I7</f>
        <v>1.7320508075688772</v>
      </c>
      <c r="I25" s="35">
        <f>INDEX(Uncertainties_sources!D46:F46,1,MATCH(Uncertainties_estimation!J$5,Uncertainties_sources!D$42:F$42,0))</f>
        <v>1</v>
      </c>
      <c r="J25" s="36">
        <f t="shared" si="0"/>
        <v>0.66395280956806979</v>
      </c>
      <c r="K25" s="10">
        <f t="shared" si="1"/>
        <v>0.44083333333333352</v>
      </c>
      <c r="L25" s="82">
        <f>(I25*0.23*J25)^4/Uncertainties_sources!J7</f>
        <v>2.719131433368059E-6</v>
      </c>
      <c r="M25" s="45"/>
      <c r="N25" s="150"/>
      <c r="O25" s="93"/>
      <c r="P25" s="93"/>
      <c r="Q25" s="93"/>
      <c r="R25" s="93"/>
      <c r="S25" s="93"/>
      <c r="T25" s="93"/>
      <c r="U25" s="93"/>
      <c r="V25" s="93"/>
      <c r="W25" s="93"/>
      <c r="X25" s="93"/>
      <c r="Y25" s="93"/>
      <c r="Z25" s="93"/>
      <c r="AA25" s="93"/>
      <c r="AB25" s="93"/>
    </row>
    <row r="26" spans="1:28" x14ac:dyDescent="0.2">
      <c r="A26" s="154"/>
      <c r="B26" s="121" t="s">
        <v>128</v>
      </c>
      <c r="C26" s="122" t="s">
        <v>147</v>
      </c>
      <c r="D26" s="39" t="s">
        <v>34</v>
      </c>
      <c r="E26" s="39" t="s">
        <v>23</v>
      </c>
      <c r="F26" s="39" t="s">
        <v>35</v>
      </c>
      <c r="G26" s="35">
        <f>Uncertainties_sources!G8</f>
        <v>2.3E-2</v>
      </c>
      <c r="H26" s="35">
        <f>Uncertainties_sources!I8</f>
        <v>1.7320508075688772</v>
      </c>
      <c r="I26" s="35">
        <f>INDEX(Uncertainties_sources!D47:F47,1,MATCH(Uncertainties_estimation!J$5,Uncertainties_sources!D$42:F$42,0))</f>
        <v>1.4139999999999999</v>
      </c>
      <c r="J26" s="36">
        <f t="shared" si="0"/>
        <v>1.8776585454585007E-2</v>
      </c>
      <c r="K26" s="10">
        <f t="shared" si="1"/>
        <v>3.5256016133333327E-4</v>
      </c>
      <c r="L26" s="82">
        <f>(I26*0.23*J26)^4/Uncertainties_sources!J8</f>
        <v>1.390514283658736E-108</v>
      </c>
      <c r="M26" s="45"/>
      <c r="N26" s="150"/>
      <c r="O26" s="93"/>
      <c r="P26" s="93"/>
      <c r="Q26" s="93"/>
      <c r="R26" s="93"/>
      <c r="S26" s="93"/>
      <c r="T26" s="93"/>
      <c r="U26" s="93"/>
      <c r="V26" s="93"/>
      <c r="W26" s="93"/>
      <c r="X26" s="93"/>
      <c r="Y26" s="93"/>
      <c r="Z26" s="93"/>
      <c r="AA26" s="93"/>
      <c r="AB26" s="93"/>
    </row>
    <row r="27" spans="1:28" x14ac:dyDescent="0.2">
      <c r="A27" s="154"/>
      <c r="B27" s="121" t="s">
        <v>129</v>
      </c>
      <c r="C27" s="122" t="s">
        <v>148</v>
      </c>
      <c r="D27" s="39" t="s">
        <v>130</v>
      </c>
      <c r="E27" s="39" t="s">
        <v>23</v>
      </c>
      <c r="F27" s="39" t="s">
        <v>36</v>
      </c>
      <c r="G27" s="35">
        <f>Uncertainties_sources!G9</f>
        <v>2.5012068344909775</v>
      </c>
      <c r="H27" s="35">
        <f>Uncertainties_sources!I9</f>
        <v>2</v>
      </c>
      <c r="I27" s="35">
        <f>INDEX(Uncertainties_sources!D48:F48,1,MATCH(Uncertainties_estimation!J$5,Uncertainties_sources!D$42:F$42,0))</f>
        <v>3</v>
      </c>
      <c r="J27" s="36">
        <f t="shared" si="0"/>
        <v>3.7518102517364662</v>
      </c>
      <c r="K27" s="10">
        <f t="shared" si="1"/>
        <v>14.076080165034845</v>
      </c>
      <c r="L27" s="82">
        <f>(I27*0.23*J27)^4/Uncertainties_sources!J9</f>
        <v>0.45828300308373709</v>
      </c>
      <c r="M27" s="45"/>
      <c r="N27" s="150"/>
      <c r="O27" s="93"/>
      <c r="P27" s="93"/>
      <c r="Q27" s="93"/>
      <c r="R27" s="93"/>
      <c r="S27" s="93"/>
      <c r="T27" s="93"/>
      <c r="U27" s="93"/>
      <c r="V27" s="93"/>
      <c r="W27" s="93"/>
      <c r="X27" s="93"/>
      <c r="Y27" s="93"/>
      <c r="Z27" s="93"/>
      <c r="AA27" s="93"/>
      <c r="AB27" s="93"/>
    </row>
    <row r="28" spans="1:28" x14ac:dyDescent="0.2">
      <c r="A28" s="154"/>
      <c r="B28" s="121" t="s">
        <v>131</v>
      </c>
      <c r="C28" s="122" t="s">
        <v>149</v>
      </c>
      <c r="D28" s="39" t="s">
        <v>130</v>
      </c>
      <c r="E28" s="39" t="s">
        <v>23</v>
      </c>
      <c r="F28" s="39" t="s">
        <v>36</v>
      </c>
      <c r="G28" s="35">
        <f>Uncertainties_sources!G10</f>
        <v>3.8793209708091537E-4</v>
      </c>
      <c r="H28" s="35">
        <f>Uncertainties_sources!I10</f>
        <v>2</v>
      </c>
      <c r="I28" s="35">
        <f>INDEX(Uncertainties_sources!D49:F49,1,MATCH(Uncertainties_estimation!J$5,Uncertainties_sources!D$42:F$42,0))</f>
        <v>1</v>
      </c>
      <c r="J28" s="36">
        <f t="shared" si="0"/>
        <v>1.9396604854045768E-4</v>
      </c>
      <c r="K28" s="10">
        <f t="shared" si="1"/>
        <v>3.7622827986399189E-8</v>
      </c>
      <c r="L28" s="82">
        <f>(I28*0.23*J28)^4/Uncertainties_sources!J10</f>
        <v>4.0419239910392421E-20</v>
      </c>
      <c r="M28" s="45"/>
      <c r="N28" s="150"/>
      <c r="O28" s="93"/>
      <c r="P28" s="93"/>
      <c r="Q28" s="93"/>
      <c r="R28" s="93"/>
      <c r="S28" s="93"/>
      <c r="T28" s="93"/>
      <c r="U28" s="93"/>
      <c r="V28" s="93"/>
      <c r="W28" s="93"/>
      <c r="X28" s="93"/>
      <c r="Y28" s="93"/>
      <c r="Z28" s="93"/>
      <c r="AA28" s="93"/>
      <c r="AB28" s="93"/>
    </row>
    <row r="29" spans="1:28" x14ac:dyDescent="0.2">
      <c r="A29" s="154"/>
      <c r="B29" s="121" t="s">
        <v>132</v>
      </c>
      <c r="C29" s="122" t="s">
        <v>150</v>
      </c>
      <c r="D29" s="39" t="s">
        <v>130</v>
      </c>
      <c r="E29" s="39" t="s">
        <v>23</v>
      </c>
      <c r="F29" s="39" t="s">
        <v>35</v>
      </c>
      <c r="G29" s="35">
        <f>Uncertainties_sources!G11</f>
        <v>0.77160377969224592</v>
      </c>
      <c r="H29" s="35">
        <f>Uncertainties_sources!I11</f>
        <v>1.7320508075688772</v>
      </c>
      <c r="I29" s="35">
        <f>INDEX(Uncertainties_sources!D50:F50,1,MATCH(Uncertainties_estimation!J$5,Uncertainties_sources!D$42:F$42,0))</f>
        <v>1.4139999999999999</v>
      </c>
      <c r="J29" s="36">
        <f t="shared" si="0"/>
        <v>0.62991670897705399</v>
      </c>
      <c r="K29" s="10">
        <f t="shared" si="1"/>
        <v>0.39679506024848255</v>
      </c>
      <c r="L29" s="82">
        <f>(I29*0.23*J29)^4/Uncertainties_sources!J11</f>
        <v>8.8066654814038309E-6</v>
      </c>
      <c r="M29" s="45"/>
      <c r="N29" s="150"/>
      <c r="O29" s="93"/>
      <c r="P29" s="93"/>
      <c r="Q29" s="93"/>
      <c r="R29" s="93"/>
      <c r="S29" s="93"/>
      <c r="T29" s="93"/>
      <c r="U29" s="93"/>
      <c r="V29" s="93"/>
      <c r="W29" s="93"/>
      <c r="X29" s="93"/>
      <c r="Y29" s="93"/>
      <c r="Z29" s="93"/>
      <c r="AA29" s="93"/>
      <c r="AB29" s="93"/>
    </row>
    <row r="30" spans="1:28" x14ac:dyDescent="0.2">
      <c r="B30" s="123"/>
      <c r="C30" s="124"/>
      <c r="D30" s="125"/>
      <c r="E30" s="123"/>
      <c r="F30" s="125"/>
      <c r="G30" s="125"/>
      <c r="H30" s="125"/>
      <c r="I30" s="125"/>
      <c r="J30" s="126"/>
      <c r="K30" s="123"/>
      <c r="L30" s="123"/>
      <c r="M30" s="45"/>
      <c r="N30" s="93"/>
      <c r="O30" s="93"/>
      <c r="P30" s="93"/>
      <c r="Q30" s="93"/>
      <c r="R30" s="93"/>
      <c r="S30" s="93"/>
      <c r="T30" s="93"/>
      <c r="U30" s="93"/>
      <c r="V30" s="93"/>
      <c r="W30" s="93"/>
      <c r="X30" s="93"/>
      <c r="Y30" s="93"/>
      <c r="Z30" s="93"/>
      <c r="AA30" s="93"/>
      <c r="AB30" s="93"/>
    </row>
    <row r="31" spans="1:28" x14ac:dyDescent="0.2">
      <c r="A31" s="152" t="s">
        <v>198</v>
      </c>
      <c r="B31" s="119" t="str">
        <f>Uncertainties_sources!C21</f>
        <v xml:space="preserve">Relative uncertainty arising from the instability of the optical source </v>
      </c>
      <c r="C31" s="120" t="str">
        <f>Uncertainties_sources!B21</f>
        <v>5.2.5.1</v>
      </c>
      <c r="D31" s="33" t="str">
        <f>Uncertainties_sources!D21</f>
        <v>B or A</v>
      </c>
      <c r="E31" s="33" t="str">
        <f>Uncertainties_sources!E21</f>
        <v>%</v>
      </c>
      <c r="F31" s="33" t="str">
        <f>Uncertainties_sources!F21</f>
        <v>Rectangular (1)</v>
      </c>
      <c r="G31" s="34">
        <f>ABS(Uncertainties_sources!G21)</f>
        <v>2.3000000000000003</v>
      </c>
      <c r="H31" s="33">
        <f>Uncertainties_sources!I21</f>
        <v>2</v>
      </c>
      <c r="I31" s="35">
        <f>INDEX(Uncertainties_sources!D60:F60,1,MATCH(Uncertainties_estimation!J$5,Uncertainties_sources!D$42:F$42,0))</f>
        <v>0</v>
      </c>
      <c r="J31" s="36">
        <f t="shared" ref="J31" si="2">G31/H31*I31</f>
        <v>0</v>
      </c>
      <c r="K31" s="10">
        <f t="shared" ref="K31" si="3">J31^2</f>
        <v>0</v>
      </c>
      <c r="L31" s="82">
        <f>(I31*J31)^4/Uncertainties_sources!J21</f>
        <v>0</v>
      </c>
      <c r="M31" s="45"/>
      <c r="N31" s="93"/>
      <c r="O31" s="93"/>
      <c r="P31" s="93"/>
      <c r="Q31" s="93"/>
      <c r="R31" s="93"/>
      <c r="S31" s="93"/>
      <c r="T31" s="93"/>
      <c r="U31" s="93"/>
      <c r="V31" s="93"/>
      <c r="W31" s="93"/>
      <c r="X31" s="93"/>
      <c r="Y31" s="93"/>
      <c r="Z31" s="93"/>
      <c r="AA31" s="93"/>
      <c r="AB31" s="93"/>
    </row>
    <row r="32" spans="1:28" x14ac:dyDescent="0.2">
      <c r="A32" s="152"/>
      <c r="B32" s="119" t="str">
        <f>Uncertainties_sources!C22</f>
        <v>Relative attenuation uncertainty arising from the uncertainty of the optical source wavelength and the fibre wavelength dependence</v>
      </c>
      <c r="C32" s="120" t="str">
        <f>Uncertainties_sources!B22</f>
        <v>5.2.5.2a</v>
      </c>
      <c r="D32" s="33" t="str">
        <f>Uncertainties_sources!D22</f>
        <v>B</v>
      </c>
      <c r="E32" s="33" t="str">
        <f>Uncertainties_sources!E22</f>
        <v>%</v>
      </c>
      <c r="F32" s="33" t="str">
        <f>Uncertainties_sources!F22</f>
        <v>Normal (2)</v>
      </c>
      <c r="G32" s="34">
        <f>ABS(Uncertainties_sources!G22)</f>
        <v>2.9782172400003462</v>
      </c>
      <c r="H32" s="33">
        <f>Uncertainties_sources!I22</f>
        <v>2</v>
      </c>
      <c r="I32" s="35">
        <f>INDEX(Uncertainties_sources!D61:F61,1,MATCH(Uncertainties_estimation!J$5,Uncertainties_sources!D$42:F$42,0))</f>
        <v>0</v>
      </c>
      <c r="J32" s="36">
        <f t="shared" ref="J32:J41" si="4">G32/H32*I32</f>
        <v>0</v>
      </c>
      <c r="K32" s="10">
        <f t="shared" ref="K32:K41" si="5">J32^2</f>
        <v>0</v>
      </c>
      <c r="L32" s="82">
        <f>(I32*J32)^4/Uncertainties_sources!J22</f>
        <v>0</v>
      </c>
      <c r="M32" s="45"/>
      <c r="N32" s="93"/>
      <c r="O32" s="93"/>
      <c r="P32" s="93"/>
      <c r="Q32" s="93"/>
      <c r="R32" s="93"/>
      <c r="S32" s="93"/>
      <c r="T32" s="93"/>
      <c r="U32" s="93"/>
      <c r="V32" s="93"/>
      <c r="W32" s="93"/>
      <c r="X32" s="93"/>
      <c r="Y32" s="93"/>
      <c r="Z32" s="93"/>
      <c r="AA32" s="93"/>
      <c r="AB32" s="93"/>
    </row>
    <row r="33" spans="1:28" x14ac:dyDescent="0.2">
      <c r="A33" s="152"/>
      <c r="B33" s="119" t="str">
        <f>Uncertainties_sources!C23</f>
        <v>Relative attenuation uncertainty arising from the uncertainty of the optical source wavelength  and the PON splitter wavelength dependence</v>
      </c>
      <c r="C33" s="120" t="str">
        <f>Uncertainties_sources!B23</f>
        <v>5.2.5.2b</v>
      </c>
      <c r="D33" s="33" t="str">
        <f>Uncertainties_sources!D23</f>
        <v>B</v>
      </c>
      <c r="E33" s="33" t="str">
        <f>Uncertainties_sources!E23</f>
        <v>%</v>
      </c>
      <c r="F33" s="33" t="str">
        <f>Uncertainties_sources!F23</f>
        <v>Normal (2)</v>
      </c>
      <c r="G33" s="34">
        <f>ABS(Uncertainties_sources!G23)</f>
        <v>5.2184427113687688</v>
      </c>
      <c r="H33" s="33">
        <f>Uncertainties_sources!I23</f>
        <v>2</v>
      </c>
      <c r="I33" s="35">
        <f>INDEX(Uncertainties_sources!D62:F62,1,MATCH(Uncertainties_estimation!J$5,Uncertainties_sources!D$42:F$42,0))</f>
        <v>0</v>
      </c>
      <c r="J33" s="36">
        <f t="shared" ref="J33" si="6">G33/H33*I33</f>
        <v>0</v>
      </c>
      <c r="K33" s="10">
        <f t="shared" ref="K33" si="7">J33^2</f>
        <v>0</v>
      </c>
      <c r="L33" s="82">
        <f>(I33*J33)^4/Uncertainties_sources!J23</f>
        <v>0</v>
      </c>
      <c r="M33" s="45"/>
      <c r="N33" s="93"/>
      <c r="O33" s="93"/>
      <c r="P33" s="93"/>
      <c r="Q33" s="93"/>
      <c r="R33" s="93"/>
      <c r="S33" s="93"/>
      <c r="T33" s="93"/>
      <c r="U33" s="93"/>
      <c r="V33" s="93"/>
      <c r="W33" s="93"/>
      <c r="X33" s="93"/>
      <c r="Y33" s="93"/>
      <c r="Z33" s="93"/>
      <c r="AA33" s="93"/>
      <c r="AB33" s="93"/>
    </row>
    <row r="34" spans="1:28" x14ac:dyDescent="0.2">
      <c r="A34" s="152"/>
      <c r="B34" s="119" t="str">
        <f>Uncertainties_sources!C24</f>
        <v>Relative uncertainty due to the multimode launch condition</v>
      </c>
      <c r="C34" s="120" t="str">
        <f>Uncertainties_sources!B24</f>
        <v>5.2.5.3</v>
      </c>
      <c r="D34" s="33" t="str">
        <f>Uncertainties_sources!D24</f>
        <v>B</v>
      </c>
      <c r="E34" s="33" t="str">
        <f>Uncertainties_sources!E24</f>
        <v>%</v>
      </c>
      <c r="F34" s="33" t="str">
        <f>Uncertainties_sources!F24</f>
        <v>Rectangular (1)</v>
      </c>
      <c r="G34" s="34">
        <f>Uncertainties_sources!G24</f>
        <v>77.096000000000004</v>
      </c>
      <c r="H34" s="33">
        <f>Uncertainties_sources!I24</f>
        <v>1.7320508075688772</v>
      </c>
      <c r="I34" s="35">
        <f>INDEX(Uncertainties_sources!D63:F63,1,MATCH(Uncertainties_estimation!J$5,Uncertainties_sources!D$42:F$42,0))</f>
        <v>0</v>
      </c>
      <c r="J34" s="36">
        <f t="shared" si="4"/>
        <v>0</v>
      </c>
      <c r="K34" s="10">
        <f t="shared" si="5"/>
        <v>0</v>
      </c>
      <c r="L34" s="82">
        <f>(I34*J34)^4/Uncertainties_sources!J24</f>
        <v>0</v>
      </c>
      <c r="M34" s="45"/>
      <c r="N34" s="93"/>
      <c r="O34" s="93"/>
      <c r="P34" s="93"/>
      <c r="Q34" s="93"/>
      <c r="R34" s="93"/>
      <c r="S34" s="93"/>
      <c r="T34" s="93"/>
      <c r="U34" s="93"/>
      <c r="V34" s="93"/>
      <c r="W34" s="93"/>
      <c r="X34" s="93"/>
      <c r="Y34" s="93"/>
      <c r="Z34" s="93"/>
      <c r="AA34" s="93"/>
      <c r="AB34" s="93"/>
    </row>
    <row r="35" spans="1:28" x14ac:dyDescent="0.2">
      <c r="A35" s="152"/>
      <c r="B35" s="119" t="str">
        <f>Uncertainties_sources!C25</f>
        <v>Relative uncertainty arising from the non-linearity of the power meter</v>
      </c>
      <c r="C35" s="120" t="str">
        <f>Uncertainties_sources!B25</f>
        <v>5.2.5.4</v>
      </c>
      <c r="D35" s="33" t="str">
        <f>Uncertainties_sources!D25</f>
        <v>B</v>
      </c>
      <c r="E35" s="33" t="str">
        <f>Uncertainties_sources!E25</f>
        <v>%</v>
      </c>
      <c r="F35" s="33" t="str">
        <f>Uncertainties_sources!F25</f>
        <v>Rectangular (1)</v>
      </c>
      <c r="G35" s="34">
        <f>Uncertainties_sources!G25</f>
        <v>0.115</v>
      </c>
      <c r="H35" s="33">
        <f>Uncertainties_sources!I25</f>
        <v>1.7320508075688772</v>
      </c>
      <c r="I35" s="35">
        <f>INDEX(Uncertainties_sources!D64:F64,1,MATCH(Uncertainties_estimation!J$5,Uncertainties_sources!D$42:F$42,0))</f>
        <v>0</v>
      </c>
      <c r="J35" s="36">
        <f t="shared" si="4"/>
        <v>0</v>
      </c>
      <c r="K35" s="10">
        <f t="shared" si="5"/>
        <v>0</v>
      </c>
      <c r="L35" s="82">
        <f>(I35*J35)^4/Uncertainties_sources!J25</f>
        <v>0</v>
      </c>
      <c r="M35" s="45"/>
      <c r="N35" s="93"/>
      <c r="O35" s="93"/>
      <c r="P35" s="93"/>
      <c r="Q35" s="93"/>
      <c r="R35" s="93"/>
      <c r="S35" s="93"/>
      <c r="T35" s="93"/>
      <c r="U35" s="93"/>
      <c r="V35" s="93"/>
      <c r="W35" s="93"/>
      <c r="X35" s="93"/>
      <c r="Y35" s="93"/>
      <c r="Z35" s="93"/>
      <c r="AA35" s="93"/>
      <c r="AB35" s="93"/>
    </row>
    <row r="36" spans="1:28" x14ac:dyDescent="0.2">
      <c r="A36" s="152"/>
      <c r="B36" s="119" t="str">
        <f>Uncertainties_sources!C26</f>
        <v xml:space="preserve">Relative uncertainty arising from the finite display resolution of power meter </v>
      </c>
      <c r="C36" s="120" t="str">
        <f>Uncertainties_sources!B26</f>
        <v>5.2.5.5</v>
      </c>
      <c r="D36" s="33" t="str">
        <f>Uncertainties_sources!D26</f>
        <v>B</v>
      </c>
      <c r="E36" s="33" t="str">
        <f>Uncertainties_sources!E26</f>
        <v>%</v>
      </c>
      <c r="F36" s="33" t="str">
        <f>Uncertainties_sources!F26</f>
        <v>Rectangular (1)</v>
      </c>
      <c r="G36" s="34">
        <f>Uncertainties_sources!G26</f>
        <v>0.115</v>
      </c>
      <c r="H36" s="33">
        <f>Uncertainties_sources!I26</f>
        <v>1.7320508075688772</v>
      </c>
      <c r="I36" s="35">
        <f>INDEX(Uncertainties_sources!D65:F65,1,MATCH(Uncertainties_estimation!J$5,Uncertainties_sources!D$42:F$42,0))</f>
        <v>0</v>
      </c>
      <c r="J36" s="36">
        <f t="shared" si="4"/>
        <v>0</v>
      </c>
      <c r="K36" s="10">
        <f t="shared" si="5"/>
        <v>0</v>
      </c>
      <c r="L36" s="82">
        <f>(I36*J36)^4/Uncertainties_sources!J26</f>
        <v>0</v>
      </c>
      <c r="M36" s="45"/>
      <c r="N36" s="93"/>
      <c r="O36" s="93"/>
      <c r="P36" s="93"/>
      <c r="Q36" s="93"/>
      <c r="R36" s="93"/>
      <c r="S36" s="93"/>
      <c r="T36" s="93"/>
      <c r="U36" s="93"/>
      <c r="V36" s="93"/>
      <c r="W36" s="93"/>
      <c r="X36" s="93"/>
      <c r="Y36" s="93"/>
      <c r="Z36" s="93"/>
      <c r="AA36" s="93"/>
      <c r="AB36" s="93"/>
    </row>
    <row r="37" spans="1:28" x14ac:dyDescent="0.2">
      <c r="A37" s="152"/>
      <c r="B37" s="119" t="str">
        <f>Uncertainties_sources!C27</f>
        <v xml:space="preserve">Relative uncertainty arising from power meter spatial sensitivity. </v>
      </c>
      <c r="C37" s="120" t="str">
        <f>Uncertainties_sources!B27</f>
        <v>5.2.5.6</v>
      </c>
      <c r="D37" s="33" t="str">
        <f>Uncertainties_sources!D27</f>
        <v>B</v>
      </c>
      <c r="E37" s="33" t="str">
        <f>Uncertainties_sources!E27</f>
        <v>%</v>
      </c>
      <c r="F37" s="33" t="str">
        <f>Uncertainties_sources!F27</f>
        <v>Rectangular (1)</v>
      </c>
      <c r="G37" s="34">
        <f>Uncertainties_sources!G27</f>
        <v>0</v>
      </c>
      <c r="H37" s="33">
        <f>Uncertainties_sources!I27</f>
        <v>1.7320508075688772</v>
      </c>
      <c r="I37" s="35">
        <f>INDEX(Uncertainties_sources!D66:F66,1,MATCH(Uncertainties_estimation!J$5,Uncertainties_sources!D$42:F$42,0))</f>
        <v>0</v>
      </c>
      <c r="J37" s="36">
        <f t="shared" si="4"/>
        <v>0</v>
      </c>
      <c r="K37" s="10">
        <f t="shared" si="5"/>
        <v>0</v>
      </c>
      <c r="L37" s="82">
        <f>(I37*J37)^4/Uncertainties_sources!J27</f>
        <v>0</v>
      </c>
      <c r="M37" s="45"/>
      <c r="N37" s="93"/>
      <c r="O37" s="93"/>
      <c r="P37" s="93"/>
      <c r="Q37" s="93"/>
      <c r="R37" s="93"/>
      <c r="S37" s="93"/>
      <c r="T37" s="93"/>
      <c r="U37" s="93"/>
      <c r="V37" s="93"/>
      <c r="W37" s="93"/>
      <c r="X37" s="93"/>
      <c r="Y37" s="93"/>
      <c r="Z37" s="93"/>
      <c r="AA37" s="93"/>
      <c r="AB37" s="93"/>
    </row>
    <row r="38" spans="1:28" x14ac:dyDescent="0.2">
      <c r="A38" s="152"/>
      <c r="B38" s="119" t="str">
        <f>Uncertainties_sources!C28</f>
        <v xml:space="preserve">Relative uncertainty arising from the polarization dependency of power meter </v>
      </c>
      <c r="C38" s="120" t="str">
        <f>Uncertainties_sources!B28</f>
        <v>5.2.6.7</v>
      </c>
      <c r="D38" s="33" t="str">
        <f>Uncertainties_sources!D28</f>
        <v>B</v>
      </c>
      <c r="E38" s="33" t="str">
        <f>Uncertainties_sources!E28</f>
        <v>%</v>
      </c>
      <c r="F38" s="33" t="str">
        <f>Uncertainties_sources!F28</f>
        <v>Rectangular (1)</v>
      </c>
      <c r="G38" s="34">
        <f>Uncertainties_sources!G28</f>
        <v>0.23</v>
      </c>
      <c r="H38" s="33">
        <f>Uncertainties_sources!I28</f>
        <v>1.7320508075688772</v>
      </c>
      <c r="I38" s="35">
        <f>INDEX(Uncertainties_sources!D67:F67,1,MATCH(Uncertainties_estimation!J$5,Uncertainties_sources!D$42:F$42,0))</f>
        <v>0</v>
      </c>
      <c r="J38" s="36">
        <f t="shared" si="4"/>
        <v>0</v>
      </c>
      <c r="K38" s="10">
        <f t="shared" si="5"/>
        <v>0</v>
      </c>
      <c r="L38" s="82">
        <f>(I38*J38)^4/Uncertainties_sources!J28</f>
        <v>0</v>
      </c>
      <c r="M38" s="45"/>
      <c r="N38" s="93"/>
      <c r="O38" s="93"/>
      <c r="P38" s="93"/>
      <c r="Q38" s="93"/>
      <c r="R38" s="93"/>
      <c r="S38" s="93"/>
      <c r="T38" s="93"/>
      <c r="U38" s="93"/>
      <c r="V38" s="93"/>
      <c r="W38" s="93"/>
      <c r="X38" s="93"/>
      <c r="Y38" s="93"/>
      <c r="Z38" s="93"/>
      <c r="AA38" s="93"/>
      <c r="AB38" s="93"/>
    </row>
    <row r="39" spans="1:28" x14ac:dyDescent="0.2">
      <c r="A39" s="152"/>
      <c r="B39" s="119" t="str">
        <f>Uncertainties_sources!C29</f>
        <v xml:space="preserve">Relative uncertainty arising from power meter noise </v>
      </c>
      <c r="C39" s="120" t="str">
        <f>Uncertainties_sources!B29</f>
        <v>5.2.5.8</v>
      </c>
      <c r="D39" s="33" t="str">
        <f>Uncertainties_sources!D29</f>
        <v>B</v>
      </c>
      <c r="E39" s="33" t="str">
        <f>Uncertainties_sources!E29</f>
        <v>%</v>
      </c>
      <c r="F39" s="33" t="str">
        <f>Uncertainties_sources!F29</f>
        <v>Rectangular (1)</v>
      </c>
      <c r="G39" s="34">
        <f>Uncertainties_sources!G29</f>
        <v>-1.6722408026755852E-9</v>
      </c>
      <c r="H39" s="33">
        <f>Uncertainties_sources!I29</f>
        <v>1.7320508075688772</v>
      </c>
      <c r="I39" s="35">
        <f>INDEX(Uncertainties_sources!D68:F68,1,MATCH(Uncertainties_estimation!J$5,Uncertainties_sources!D$42:F$42,0))</f>
        <v>0</v>
      </c>
      <c r="J39" s="36">
        <f t="shared" si="4"/>
        <v>0</v>
      </c>
      <c r="K39" s="10">
        <f t="shared" si="5"/>
        <v>0</v>
      </c>
      <c r="L39" s="82">
        <f>(I39*J39)^4/Uncertainties_sources!J29</f>
        <v>0</v>
      </c>
      <c r="M39" s="45"/>
      <c r="N39" s="93"/>
      <c r="O39" s="93"/>
      <c r="P39" s="93"/>
      <c r="Q39" s="93"/>
      <c r="R39" s="93"/>
      <c r="S39" s="93"/>
      <c r="T39" s="93"/>
      <c r="U39" s="93"/>
      <c r="V39" s="93"/>
      <c r="W39" s="93"/>
      <c r="X39" s="93"/>
      <c r="Y39" s="93"/>
      <c r="Z39" s="93"/>
      <c r="AA39" s="93"/>
      <c r="AB39" s="93"/>
    </row>
    <row r="40" spans="1:28" x14ac:dyDescent="0.2">
      <c r="A40" s="152"/>
      <c r="B40" s="119" t="str">
        <f>Uncertainties_sources!C30</f>
        <v>Relative uncertainty arising from power meter instability</v>
      </c>
      <c r="C40" s="120" t="str">
        <f>Uncertainties_sources!B30</f>
        <v>5.2.5.9</v>
      </c>
      <c r="D40" s="33" t="str">
        <f>Uncertainties_sources!D30</f>
        <v>B</v>
      </c>
      <c r="E40" s="33" t="str">
        <f>Uncertainties_sources!E30</f>
        <v>%</v>
      </c>
      <c r="F40" s="33" t="str">
        <f>Uncertainties_sources!F30</f>
        <v>Normal (2)</v>
      </c>
      <c r="G40" s="34">
        <f>Uncertainties_sources!G30</f>
        <v>0.1</v>
      </c>
      <c r="H40" s="33">
        <f>Uncertainties_sources!I30</f>
        <v>2</v>
      </c>
      <c r="I40" s="35">
        <f>INDEX(Uncertainties_sources!D69:F69,1,MATCH(Uncertainties_estimation!J$5,Uncertainties_sources!D$42:F$42,0))</f>
        <v>0</v>
      </c>
      <c r="J40" s="36">
        <f t="shared" si="4"/>
        <v>0</v>
      </c>
      <c r="K40" s="10">
        <f t="shared" si="5"/>
        <v>0</v>
      </c>
      <c r="L40" s="82">
        <f>(I40*J40)^4/Uncertainties_sources!J30</f>
        <v>0</v>
      </c>
      <c r="M40" s="45"/>
      <c r="N40" s="93"/>
      <c r="O40" s="93"/>
      <c r="P40" s="93"/>
      <c r="Q40" s="93"/>
      <c r="R40" s="93"/>
      <c r="S40" s="93"/>
      <c r="T40" s="93"/>
      <c r="U40" s="93"/>
      <c r="V40" s="93"/>
      <c r="W40" s="93"/>
      <c r="X40" s="93"/>
      <c r="Y40" s="93"/>
      <c r="Z40" s="93"/>
      <c r="AA40" s="93"/>
      <c r="AB40" s="93"/>
    </row>
    <row r="41" spans="1:28" x14ac:dyDescent="0.2">
      <c r="A41" s="152"/>
      <c r="B41" s="119" t="str">
        <f>Uncertainties_sources!C31</f>
        <v xml:space="preserve">Relative uncertainties of the absolute power measurements </v>
      </c>
      <c r="C41" s="120" t="str">
        <f>Uncertainties_sources!B31</f>
        <v>5.2.5.10</v>
      </c>
      <c r="D41" s="33" t="str">
        <f>Uncertainties_sources!D31</f>
        <v>B</v>
      </c>
      <c r="E41" s="33" t="str">
        <f>Uncertainties_sources!E31</f>
        <v>%</v>
      </c>
      <c r="F41" s="33" t="str">
        <f>Uncertainties_sources!F31</f>
        <v>Normal (2)</v>
      </c>
      <c r="G41" s="34">
        <f>Uncertainties_sources!G31</f>
        <v>0</v>
      </c>
      <c r="H41" s="33">
        <f>Uncertainties_sources!I31</f>
        <v>2</v>
      </c>
      <c r="I41" s="35">
        <f>INDEX(Uncertainties_sources!D70:F70,1,MATCH(Uncertainties_estimation!J$5,Uncertainties_sources!D$42:F$42,0))</f>
        <v>0</v>
      </c>
      <c r="J41" s="36">
        <f t="shared" si="4"/>
        <v>0</v>
      </c>
      <c r="K41" s="10">
        <f t="shared" si="5"/>
        <v>0</v>
      </c>
      <c r="L41" s="82">
        <f>(I41*J41)^4/Uncertainties_sources!J31</f>
        <v>0</v>
      </c>
      <c r="M41" s="45"/>
      <c r="N41" s="93"/>
      <c r="O41" s="93"/>
      <c r="P41" s="93"/>
      <c r="Q41" s="93"/>
      <c r="R41" s="93"/>
      <c r="S41" s="93"/>
      <c r="T41" s="93"/>
      <c r="U41" s="93"/>
      <c r="V41" s="93"/>
      <c r="W41" s="93"/>
      <c r="X41" s="93"/>
      <c r="Y41" s="93"/>
      <c r="Z41" s="93"/>
      <c r="AA41" s="93"/>
      <c r="AB41" s="93"/>
    </row>
    <row r="42" spans="1:28" x14ac:dyDescent="0.2">
      <c r="C42" s="31"/>
      <c r="D42" s="31"/>
      <c r="K42" s="37">
        <f>SQRT(SUM(K23:K41))</f>
        <v>4.8919899944606851</v>
      </c>
      <c r="L42" s="73">
        <f>SUM(L23:L41)</f>
        <v>0.45901135710505087</v>
      </c>
      <c r="N42" s="93"/>
      <c r="O42" s="93"/>
      <c r="P42" s="93"/>
      <c r="Q42" s="93"/>
      <c r="R42" s="93"/>
      <c r="S42" s="93"/>
      <c r="T42" s="93"/>
      <c r="U42" s="93"/>
      <c r="V42" s="93"/>
      <c r="W42" s="93"/>
      <c r="X42" s="93"/>
      <c r="Y42" s="93"/>
      <c r="Z42" s="93"/>
      <c r="AA42" s="93"/>
      <c r="AB42" s="93"/>
    </row>
    <row r="43" spans="1:28" x14ac:dyDescent="0.2">
      <c r="B43" s="32" t="s">
        <v>107</v>
      </c>
      <c r="C43" s="29"/>
      <c r="D43" s="29"/>
      <c r="N43" s="93"/>
      <c r="O43" s="93"/>
      <c r="P43" s="93"/>
      <c r="Q43" s="93"/>
      <c r="R43" s="93"/>
      <c r="S43" s="93"/>
      <c r="T43" s="93"/>
      <c r="U43" s="93"/>
      <c r="V43" s="93"/>
      <c r="W43" s="93"/>
      <c r="X43" s="93"/>
      <c r="Y43" s="93"/>
      <c r="Z43" s="93"/>
      <c r="AA43" s="93"/>
      <c r="AB43" s="93"/>
    </row>
    <row r="44" spans="1:28" s="5" customFormat="1" ht="51" x14ac:dyDescent="0.2">
      <c r="B44" s="87" t="s">
        <v>26</v>
      </c>
      <c r="C44" s="88" t="s">
        <v>27</v>
      </c>
      <c r="D44" s="88" t="s">
        <v>28</v>
      </c>
      <c r="E44" s="87" t="s">
        <v>29</v>
      </c>
      <c r="F44" s="88" t="s">
        <v>30</v>
      </c>
      <c r="G44" s="88" t="s">
        <v>31</v>
      </c>
      <c r="H44" s="88" t="s">
        <v>75</v>
      </c>
      <c r="I44" s="88" t="s">
        <v>73</v>
      </c>
      <c r="J44" s="90" t="s">
        <v>102</v>
      </c>
      <c r="K44" s="87" t="s">
        <v>103</v>
      </c>
      <c r="L44" s="87" t="s">
        <v>104</v>
      </c>
      <c r="N44" s="93"/>
      <c r="O44" s="93"/>
      <c r="P44" s="93"/>
      <c r="Q44" s="93"/>
      <c r="R44" s="93"/>
      <c r="S44" s="93"/>
      <c r="T44" s="97"/>
      <c r="U44" s="97"/>
      <c r="V44" s="97"/>
      <c r="W44" s="97"/>
      <c r="X44" s="97"/>
      <c r="Y44" s="97"/>
      <c r="Z44" s="97"/>
      <c r="AA44" s="97"/>
      <c r="AB44" s="97"/>
    </row>
    <row r="45" spans="1:28" s="5" customFormat="1" ht="12.75" customHeight="1" x14ac:dyDescent="0.2">
      <c r="A45" s="154" t="s">
        <v>186</v>
      </c>
      <c r="B45" s="121" t="s">
        <v>133</v>
      </c>
      <c r="C45" s="122" t="s">
        <v>151</v>
      </c>
      <c r="D45" s="39" t="s">
        <v>34</v>
      </c>
      <c r="E45" s="39" t="s">
        <v>23</v>
      </c>
      <c r="F45" s="39" t="s">
        <v>35</v>
      </c>
      <c r="G45" s="39">
        <f>Uncertainties_sources!G12</f>
        <v>2.3000000000000003</v>
      </c>
      <c r="H45" s="39">
        <f>Uncertainties_sources!I12</f>
        <v>1.7320508075688772</v>
      </c>
      <c r="I45" s="35">
        <f>INDEX(Uncertainties_sources!D51:F51,1,MATCH(Uncertainties_estimation!J$5,Uncertainties_sources!D$42:F$42,0))</f>
        <v>1</v>
      </c>
      <c r="J45" s="36">
        <f t="shared" ref="J45:J48" si="8">G45/H45*I45</f>
        <v>1.3279056191361396</v>
      </c>
      <c r="K45" s="10">
        <f t="shared" ref="K45:K48" si="9">J45^2</f>
        <v>1.7633333333333341</v>
      </c>
      <c r="L45" s="82">
        <f>(I45*0.23*J45)^4/Uncertainties_sources!J12</f>
        <v>1.7402441173555577E-6</v>
      </c>
      <c r="N45" s="93"/>
      <c r="O45" s="93"/>
      <c r="P45" s="93"/>
      <c r="Q45" s="93"/>
      <c r="R45" s="93"/>
      <c r="S45" s="93"/>
      <c r="T45" s="97"/>
      <c r="U45" s="97"/>
      <c r="V45" s="97"/>
      <c r="W45" s="97"/>
      <c r="X45" s="97"/>
      <c r="Y45" s="97"/>
      <c r="Z45" s="97"/>
      <c r="AA45" s="97"/>
      <c r="AB45" s="97"/>
    </row>
    <row r="46" spans="1:28" s="5" customFormat="1" x14ac:dyDescent="0.2">
      <c r="A46" s="154"/>
      <c r="B46" s="121" t="s">
        <v>134</v>
      </c>
      <c r="C46" s="122" t="s">
        <v>152</v>
      </c>
      <c r="D46" s="39" t="s">
        <v>34</v>
      </c>
      <c r="E46" s="39" t="s">
        <v>23</v>
      </c>
      <c r="F46" s="39" t="s">
        <v>36</v>
      </c>
      <c r="G46" s="39">
        <f>Uncertainties_sources!G13</f>
        <v>7.36</v>
      </c>
      <c r="H46" s="39">
        <f>Uncertainties_sources!I13</f>
        <v>2</v>
      </c>
      <c r="I46" s="35">
        <f>INDEX(Uncertainties_sources!D52:F52,1,MATCH(Uncertainties_estimation!J$5,Uncertainties_sources!D$42:F$42,0))</f>
        <v>0</v>
      </c>
      <c r="J46" s="36">
        <f t="shared" si="8"/>
        <v>0</v>
      </c>
      <c r="K46" s="10">
        <f t="shared" si="9"/>
        <v>0</v>
      </c>
      <c r="L46" s="82">
        <f>(I46*0.23*J46)^4/Uncertainties_sources!J13</f>
        <v>0</v>
      </c>
      <c r="N46" s="93"/>
      <c r="O46" s="93"/>
      <c r="P46" s="93"/>
      <c r="Q46" s="93"/>
      <c r="R46" s="93"/>
      <c r="S46" s="93"/>
      <c r="T46" s="97"/>
      <c r="U46" s="97"/>
      <c r="V46" s="97"/>
      <c r="W46" s="97"/>
      <c r="X46" s="97"/>
      <c r="Y46" s="97"/>
      <c r="Z46" s="97"/>
      <c r="AA46" s="97"/>
      <c r="AB46" s="97"/>
    </row>
    <row r="47" spans="1:28" s="5" customFormat="1" x14ac:dyDescent="0.2">
      <c r="A47" s="154"/>
      <c r="B47" s="121" t="s">
        <v>135</v>
      </c>
      <c r="C47" s="122" t="s">
        <v>153</v>
      </c>
      <c r="D47" s="39" t="s">
        <v>34</v>
      </c>
      <c r="E47" s="39" t="s">
        <v>23</v>
      </c>
      <c r="F47" s="39" t="s">
        <v>36</v>
      </c>
      <c r="G47" s="39">
        <f>Uncertainties_sources!G14</f>
        <v>4.6000000000000005</v>
      </c>
      <c r="H47" s="39">
        <f>Uncertainties_sources!I14</f>
        <v>2</v>
      </c>
      <c r="I47" s="35">
        <f>INDEX(Uncertainties_sources!D53:F53,1,MATCH(Uncertainties_estimation!J$5,Uncertainties_sources!D$42:F$42,0))</f>
        <v>0</v>
      </c>
      <c r="J47" s="36">
        <f t="shared" si="8"/>
        <v>0</v>
      </c>
      <c r="K47" s="10">
        <f t="shared" si="9"/>
        <v>0</v>
      </c>
      <c r="L47" s="82">
        <f>(I47*0.23*J47)^4/Uncertainties_sources!J14</f>
        <v>0</v>
      </c>
      <c r="N47" s="93"/>
      <c r="O47" s="93"/>
      <c r="P47" s="93"/>
      <c r="Q47" s="93"/>
      <c r="R47" s="93"/>
      <c r="S47" s="93"/>
      <c r="T47" s="97"/>
      <c r="U47" s="97"/>
      <c r="V47" s="97"/>
      <c r="W47" s="97"/>
      <c r="X47" s="97"/>
      <c r="Y47" s="97"/>
      <c r="Z47" s="97"/>
      <c r="AA47" s="97"/>
      <c r="AB47" s="97"/>
    </row>
    <row r="48" spans="1:28" s="5" customFormat="1" x14ac:dyDescent="0.2">
      <c r="A48" s="154"/>
      <c r="B48" s="121" t="s">
        <v>117</v>
      </c>
      <c r="C48" s="122" t="s">
        <v>154</v>
      </c>
      <c r="D48" s="39" t="s">
        <v>34</v>
      </c>
      <c r="E48" s="39" t="s">
        <v>23</v>
      </c>
      <c r="F48" s="39" t="s">
        <v>35</v>
      </c>
      <c r="G48" s="39">
        <f>Uncertainties_sources!G15</f>
        <v>1.1500000000000001</v>
      </c>
      <c r="H48" s="39">
        <f>Uncertainties_sources!I15</f>
        <v>1.7320508075688772</v>
      </c>
      <c r="I48" s="35">
        <f>INDEX(Uncertainties_sources!D54:F54,1,MATCH(Uncertainties_estimation!J$5,Uncertainties_sources!D$42:F$42,0))</f>
        <v>0</v>
      </c>
      <c r="J48" s="36">
        <f t="shared" si="8"/>
        <v>0</v>
      </c>
      <c r="K48" s="10">
        <f t="shared" si="9"/>
        <v>0</v>
      </c>
      <c r="L48" s="82">
        <f>(I48*0.23*J48)^4/Uncertainties_sources!J15</f>
        <v>0</v>
      </c>
      <c r="N48" s="93"/>
      <c r="O48" s="93"/>
      <c r="P48" s="93"/>
      <c r="Q48" s="93"/>
      <c r="R48" s="93"/>
      <c r="S48" s="93"/>
      <c r="T48" s="97"/>
      <c r="U48" s="97"/>
      <c r="V48" s="97"/>
      <c r="W48" s="97"/>
      <c r="X48" s="97"/>
      <c r="Y48" s="97"/>
      <c r="Z48" s="97"/>
      <c r="AA48" s="97"/>
      <c r="AB48" s="97"/>
    </row>
    <row r="49" spans="1:28" s="5" customFormat="1" x14ac:dyDescent="0.2">
      <c r="B49" s="123"/>
      <c r="C49" s="124"/>
      <c r="D49" s="125"/>
      <c r="E49" s="123"/>
      <c r="F49" s="125"/>
      <c r="G49" s="125"/>
      <c r="H49" s="125"/>
      <c r="I49" s="35"/>
      <c r="J49" s="126"/>
      <c r="K49" s="123"/>
      <c r="L49" s="123"/>
      <c r="N49" s="93"/>
      <c r="O49" s="93"/>
      <c r="P49" s="93"/>
      <c r="Q49" s="93"/>
      <c r="R49" s="93"/>
      <c r="S49" s="93"/>
      <c r="T49" s="97"/>
      <c r="U49" s="97"/>
      <c r="V49" s="97"/>
      <c r="W49" s="97"/>
      <c r="X49" s="97"/>
      <c r="Y49" s="97"/>
      <c r="Z49" s="97"/>
      <c r="AA49" s="97"/>
      <c r="AB49" s="97"/>
    </row>
    <row r="50" spans="1:28" x14ac:dyDescent="0.2">
      <c r="A50" s="152" t="s">
        <v>198</v>
      </c>
      <c r="B50" s="119" t="str">
        <f>Uncertainties_sources!C32</f>
        <v>Relative uncertainties due to mating reproducibility</v>
      </c>
      <c r="C50" s="120" t="str">
        <f>Uncertainties_sources!B32</f>
        <v>5.2.6.1</v>
      </c>
      <c r="D50" s="33" t="str">
        <f>Uncertainties_sources!D32</f>
        <v>B</v>
      </c>
      <c r="E50" s="33" t="str">
        <f>Uncertainties_sources!E32</f>
        <v>%</v>
      </c>
      <c r="F50" s="33" t="str">
        <f>Uncertainties_sources!F32</f>
        <v>Rectangular (1)</v>
      </c>
      <c r="G50" s="34">
        <f>Uncertainties_sources!G32</f>
        <v>4.6000000000000005</v>
      </c>
      <c r="H50" s="33">
        <f>Uncertainties_sources!I32</f>
        <v>1.7320508075688772</v>
      </c>
      <c r="I50" s="35">
        <f>INDEX(Uncertainties_sources!D71:F71,1,MATCH(Uncertainties_estimation!J$5,Uncertainties_sources!D$42:F$42,0))</f>
        <v>0</v>
      </c>
      <c r="J50" s="36">
        <f>G50/H50*I50</f>
        <v>0</v>
      </c>
      <c r="K50" s="10">
        <f>J50^2</f>
        <v>0</v>
      </c>
      <c r="L50" s="82">
        <f>(I50*J50)^4/Uncertainties_sources!J32</f>
        <v>0</v>
      </c>
      <c r="N50" s="93"/>
      <c r="O50" s="93"/>
      <c r="P50" s="93"/>
      <c r="Q50" s="93"/>
      <c r="R50" s="93"/>
      <c r="S50" s="93"/>
    </row>
    <row r="51" spans="1:28" x14ac:dyDescent="0.2">
      <c r="A51" s="153"/>
      <c r="B51" s="119" t="str">
        <f>Uncertainties_sources!C33</f>
        <v>Relative uncertainty related to the repeatability of the test cord connector mating.</v>
      </c>
      <c r="C51" s="120" t="str">
        <f>Uncertainties_sources!B33</f>
        <v>5.2.6.2</v>
      </c>
      <c r="D51" s="33" t="str">
        <f>Uncertainties_sources!D33</f>
        <v>B</v>
      </c>
      <c r="E51" s="33" t="str">
        <f>Uncertainties_sources!E33</f>
        <v>%</v>
      </c>
      <c r="F51" s="33" t="str">
        <f>Uncertainties_sources!F33</f>
        <v>Rectangular (1)</v>
      </c>
      <c r="G51" s="34">
        <f>Uncertainties_sources!G33</f>
        <v>1.1500000000000001</v>
      </c>
      <c r="H51" s="33">
        <f>Uncertainties_sources!I33</f>
        <v>1.7320508075688772</v>
      </c>
      <c r="I51" s="35">
        <f>INDEX(Uncertainties_sources!D72:F72,1,MATCH(Uncertainties_estimation!J$5,Uncertainties_sources!D$42:F$42,0))</f>
        <v>0</v>
      </c>
      <c r="J51" s="36">
        <f>G51/H51*I51</f>
        <v>0</v>
      </c>
      <c r="K51" s="10">
        <f>J51^2</f>
        <v>0</v>
      </c>
      <c r="L51" s="82">
        <f>(I51*J51)^4/Uncertainties_sources!J33</f>
        <v>0</v>
      </c>
      <c r="N51" s="93"/>
      <c r="O51" s="93"/>
      <c r="P51" s="93"/>
      <c r="Q51" s="93"/>
      <c r="R51" s="93"/>
      <c r="S51" s="93"/>
    </row>
    <row r="52" spans="1:28" x14ac:dyDescent="0.2">
      <c r="A52" s="153"/>
      <c r="B52" s="119" t="str">
        <f>Uncertainties_sources!C34</f>
        <v>Relative uncertainty related to the PDL of the test cord APC connectors.</v>
      </c>
      <c r="C52" s="120" t="str">
        <f>Uncertainties_sources!B34</f>
        <v>5.2.6.3</v>
      </c>
      <c r="D52" s="33" t="str">
        <f>Uncertainties_sources!D34</f>
        <v>B</v>
      </c>
      <c r="E52" s="33" t="str">
        <f>Uncertainties_sources!E34</f>
        <v>%</v>
      </c>
      <c r="F52" s="33" t="str">
        <f>Uncertainties_sources!F34</f>
        <v>Rectangular (1)</v>
      </c>
      <c r="G52" s="34">
        <f>Uncertainties_sources!G34</f>
        <v>0.41399999999999998</v>
      </c>
      <c r="H52" s="33">
        <f>Uncertainties_sources!I34</f>
        <v>1.7320508075688772</v>
      </c>
      <c r="I52" s="35">
        <f>INDEX(Uncertainties_sources!D73:F73,1,MATCH(Uncertainties_estimation!J$5,Uncertainties_sources!D$42:F$42,0))</f>
        <v>0</v>
      </c>
      <c r="J52" s="36">
        <f>G52/H52*I52</f>
        <v>0</v>
      </c>
      <c r="K52" s="10">
        <f>J52^2</f>
        <v>0</v>
      </c>
      <c r="L52" s="82">
        <f>(I52*J52)^4/Uncertainties_sources!J34</f>
        <v>0</v>
      </c>
      <c r="N52" s="93"/>
      <c r="O52" s="93"/>
      <c r="P52" s="93"/>
      <c r="Q52" s="93"/>
      <c r="R52" s="93"/>
      <c r="S52" s="93"/>
    </row>
    <row r="53" spans="1:28" x14ac:dyDescent="0.2">
      <c r="C53" s="31"/>
      <c r="D53" s="31"/>
      <c r="K53" s="37">
        <f>SQRT(SUM(K45:K52))</f>
        <v>1.3279056191361396</v>
      </c>
      <c r="L53" s="83">
        <f>SUM(L45:L52)</f>
        <v>1.7402441173555577E-6</v>
      </c>
      <c r="N53" s="93"/>
      <c r="O53" s="93"/>
      <c r="P53" s="93"/>
      <c r="R53" s="93"/>
      <c r="S53" s="93"/>
    </row>
    <row r="54" spans="1:28" x14ac:dyDescent="0.2">
      <c r="B54" s="32" t="s">
        <v>108</v>
      </c>
      <c r="C54" s="29"/>
      <c r="D54" s="29"/>
      <c r="N54" s="93"/>
      <c r="O54" s="93"/>
      <c r="P54" s="93"/>
      <c r="Q54" s="93"/>
      <c r="R54" s="93"/>
      <c r="S54" s="93"/>
    </row>
    <row r="55" spans="1:28" s="5" customFormat="1" ht="51" x14ac:dyDescent="0.2">
      <c r="B55" s="87" t="s">
        <v>26</v>
      </c>
      <c r="C55" s="88" t="s">
        <v>27</v>
      </c>
      <c r="D55" s="88" t="s">
        <v>28</v>
      </c>
      <c r="E55" s="87" t="s">
        <v>29</v>
      </c>
      <c r="F55" s="88" t="s">
        <v>30</v>
      </c>
      <c r="G55" s="88" t="s">
        <v>31</v>
      </c>
      <c r="H55" s="88" t="s">
        <v>75</v>
      </c>
      <c r="I55" s="88" t="s">
        <v>73</v>
      </c>
      <c r="J55" s="90" t="s">
        <v>102</v>
      </c>
      <c r="K55" s="87" t="s">
        <v>103</v>
      </c>
      <c r="L55" s="87" t="s">
        <v>104</v>
      </c>
      <c r="N55" s="93"/>
      <c r="O55" s="93"/>
      <c r="P55" s="93"/>
      <c r="Q55" s="93"/>
      <c r="R55" s="93"/>
      <c r="S55" s="93"/>
    </row>
    <row r="56" spans="1:28" s="5" customFormat="1" ht="12.75" customHeight="1" x14ac:dyDescent="0.2">
      <c r="A56" s="154" t="s">
        <v>186</v>
      </c>
      <c r="B56" s="121" t="s">
        <v>99</v>
      </c>
      <c r="C56" s="122" t="s">
        <v>155</v>
      </c>
      <c r="D56" s="39" t="s">
        <v>34</v>
      </c>
      <c r="E56" s="39" t="s">
        <v>23</v>
      </c>
      <c r="F56" s="39" t="s">
        <v>36</v>
      </c>
      <c r="G56" s="39">
        <f>Uncertainties_sources!G16</f>
        <v>4.6000000000000005</v>
      </c>
      <c r="H56" s="39">
        <f>Uncertainties_sources!I16</f>
        <v>2</v>
      </c>
      <c r="I56" s="35">
        <f>INDEX(Uncertainties_sources!D55:F55,1,MATCH(Uncertainties_estimation!J$5,Uncertainties_sources!D$42:F$42,0))</f>
        <v>1.4139999999999999</v>
      </c>
      <c r="J56" s="36">
        <f t="shared" ref="J56:J59" si="10">G56/H56*I56</f>
        <v>3.2522000000000002</v>
      </c>
      <c r="K56" s="135">
        <f t="shared" ref="K56:K59" si="11">J56^2</f>
        <v>10.576804840000001</v>
      </c>
      <c r="L56" s="82">
        <f>(I56*0.23*J56)^4/Uncertainties_sources!J16</f>
        <v>2.5029257105857271E-4</v>
      </c>
      <c r="N56" s="93"/>
      <c r="O56" s="93"/>
      <c r="P56" s="93"/>
      <c r="Q56" s="93"/>
      <c r="R56" s="93"/>
      <c r="S56" s="93"/>
    </row>
    <row r="57" spans="1:28" s="5" customFormat="1" x14ac:dyDescent="0.2">
      <c r="A57" s="154"/>
      <c r="B57" s="121" t="s">
        <v>116</v>
      </c>
      <c r="C57" s="122" t="s">
        <v>156</v>
      </c>
      <c r="D57" s="39" t="s">
        <v>34</v>
      </c>
      <c r="E57" s="39" t="s">
        <v>23</v>
      </c>
      <c r="F57" s="39" t="s">
        <v>35</v>
      </c>
      <c r="G57" s="39">
        <f>Uncertainties_sources!G17</f>
        <v>1.1500000000000001</v>
      </c>
      <c r="H57" s="39">
        <f>Uncertainties_sources!I17</f>
        <v>1.7320508075688772</v>
      </c>
      <c r="I57" s="35">
        <f>INDEX(Uncertainties_sources!D56:F56,1,MATCH(Uncertainties_estimation!J$5,Uncertainties_sources!D$42:F$42,0))</f>
        <v>1.4139999999999999</v>
      </c>
      <c r="J57" s="36">
        <f t="shared" si="10"/>
        <v>0.93882927272925065</v>
      </c>
      <c r="K57" s="135">
        <f t="shared" si="11"/>
        <v>0.88140040333333369</v>
      </c>
      <c r="L57" s="82">
        <f>(I57*0.23*J57)^4/Uncertainties_sources!J17</f>
        <v>1.7381428545734226E-6</v>
      </c>
      <c r="N57" s="93"/>
      <c r="O57" s="93"/>
      <c r="P57" s="93"/>
      <c r="Q57" s="93"/>
      <c r="R57" s="93"/>
      <c r="S57" s="93"/>
    </row>
    <row r="58" spans="1:28" s="5" customFormat="1" x14ac:dyDescent="0.2">
      <c r="A58" s="154"/>
      <c r="B58" s="121" t="s">
        <v>100</v>
      </c>
      <c r="C58" s="122" t="s">
        <v>157</v>
      </c>
      <c r="D58" s="39" t="s">
        <v>34</v>
      </c>
      <c r="E58" s="39" t="s">
        <v>23</v>
      </c>
      <c r="F58" s="39" t="s">
        <v>35</v>
      </c>
      <c r="G58" s="39">
        <f>Uncertainties_sources!G18</f>
        <v>1.1500000000000001</v>
      </c>
      <c r="H58" s="39">
        <f>Uncertainties_sources!I18</f>
        <v>1.7320508075688772</v>
      </c>
      <c r="I58" s="35">
        <f>INDEX(Uncertainties_sources!D57:F57,1,MATCH(Uncertainties_estimation!J$5,Uncertainties_sources!D$42:F$42,0))</f>
        <v>1.732</v>
      </c>
      <c r="J58" s="36">
        <f t="shared" si="10"/>
        <v>1.1499662661718968</v>
      </c>
      <c r="K58" s="135">
        <f t="shared" si="11"/>
        <v>1.3224224133333338</v>
      </c>
      <c r="L58" s="82">
        <f>(I58*0.23*J58)^4/Uncertainties_sources!J18</f>
        <v>2.2019796540065129E-4</v>
      </c>
      <c r="N58" s="93"/>
      <c r="O58" s="93"/>
      <c r="P58" s="93"/>
      <c r="Q58" s="93"/>
      <c r="R58" s="93"/>
      <c r="S58" s="93"/>
    </row>
    <row r="59" spans="1:28" s="5" customFormat="1" x14ac:dyDescent="0.2">
      <c r="A59" s="154"/>
      <c r="B59" s="121" t="s">
        <v>136</v>
      </c>
      <c r="C59" s="122" t="s">
        <v>158</v>
      </c>
      <c r="D59" s="39" t="s">
        <v>34</v>
      </c>
      <c r="E59" s="39" t="s">
        <v>23</v>
      </c>
      <c r="F59" s="39" t="s">
        <v>36</v>
      </c>
      <c r="G59" s="39">
        <f>Uncertainties_sources!G19</f>
        <v>6.8999999999999995</v>
      </c>
      <c r="H59" s="39">
        <f>Uncertainties_sources!I19</f>
        <v>2</v>
      </c>
      <c r="I59" s="35">
        <f>INDEX(Uncertainties_sources!D58:F58,1,MATCH(Uncertainties_estimation!J$5,Uncertainties_sources!D$42:F$42,0))</f>
        <v>1</v>
      </c>
      <c r="J59" s="36">
        <f t="shared" si="10"/>
        <v>3.4499999999999997</v>
      </c>
      <c r="K59" s="10">
        <f t="shared" si="11"/>
        <v>11.902499999999998</v>
      </c>
      <c r="L59" s="82">
        <f>(I59*0.23*J59)^4/Uncertainties_sources!J19</f>
        <v>1.9822468149253121E-3</v>
      </c>
      <c r="N59" s="93"/>
      <c r="O59" s="93"/>
      <c r="P59" s="93"/>
      <c r="Q59" s="93"/>
      <c r="R59" s="93"/>
      <c r="S59" s="93"/>
    </row>
    <row r="60" spans="1:28" s="5" customFormat="1" x14ac:dyDescent="0.2">
      <c r="B60" s="123"/>
      <c r="C60" s="125"/>
      <c r="D60" s="125"/>
      <c r="E60" s="123"/>
      <c r="F60" s="125"/>
      <c r="G60" s="125"/>
      <c r="H60" s="125"/>
      <c r="I60" s="125"/>
      <c r="J60" s="126"/>
      <c r="K60" s="123"/>
      <c r="L60" s="123"/>
      <c r="N60" s="93"/>
      <c r="O60" s="93"/>
      <c r="P60" s="93"/>
      <c r="Q60" s="93"/>
      <c r="R60" s="93"/>
      <c r="S60" s="93"/>
    </row>
    <row r="61" spans="1:28" x14ac:dyDescent="0.2">
      <c r="A61" s="152" t="s">
        <v>198</v>
      </c>
      <c r="B61" s="119" t="str">
        <f>Uncertainties_sources!C35</f>
        <v>Relative uncertainties due to mating reproducibility</v>
      </c>
      <c r="C61" s="143" t="str">
        <f>Uncertainties_sources!B35</f>
        <v>5.2.7.1</v>
      </c>
      <c r="D61" s="33" t="str">
        <f>Uncertainties_sources!D35</f>
        <v>B</v>
      </c>
      <c r="E61" s="33" t="str">
        <f>Uncertainties_sources!E35</f>
        <v>%</v>
      </c>
      <c r="F61" s="33" t="str">
        <f>Uncertainties_sources!F35</f>
        <v>Rectangular (1)</v>
      </c>
      <c r="G61" s="34">
        <f>Uncertainties_sources!G35</f>
        <v>4.6000000000000005</v>
      </c>
      <c r="H61" s="33">
        <f>Uncertainties_sources!I35</f>
        <v>1.7320508075688772</v>
      </c>
      <c r="I61" s="35">
        <f>INDEX(Uncertainties_sources!D74:F74,1,MATCH(Uncertainties_estimation!J$5,Uncertainties_sources!D$42:F$42,0))</f>
        <v>0</v>
      </c>
      <c r="J61" s="36">
        <f>G61/H61*I61</f>
        <v>0</v>
      </c>
      <c r="K61" s="10">
        <f>J61^2</f>
        <v>0</v>
      </c>
      <c r="L61" s="82">
        <f>(I61*J61)^4/Uncertainties_sources!J35</f>
        <v>0</v>
      </c>
      <c r="N61" s="93"/>
      <c r="O61" s="93"/>
      <c r="P61" s="93"/>
      <c r="Q61" s="93"/>
      <c r="R61" s="93"/>
      <c r="S61" s="93"/>
    </row>
    <row r="62" spans="1:28" x14ac:dyDescent="0.2">
      <c r="A62" s="153"/>
      <c r="B62" s="119" t="str">
        <f>Uncertainties_sources!C36</f>
        <v>Relative uncertainty related to the repeatability of the test cord connector mating to cabling connectors</v>
      </c>
      <c r="C62" s="143" t="str">
        <f>Uncertainties_sources!B36</f>
        <v>5.2.7.2</v>
      </c>
      <c r="D62" s="33" t="str">
        <f>Uncertainties_sources!D36</f>
        <v>B</v>
      </c>
      <c r="E62" s="33" t="str">
        <f>Uncertainties_sources!E36</f>
        <v>%</v>
      </c>
      <c r="F62" s="33" t="str">
        <f>Uncertainties_sources!F36</f>
        <v>Rectangular (1)</v>
      </c>
      <c r="G62" s="34">
        <f>Uncertainties_sources!G36</f>
        <v>1.1500000000000001</v>
      </c>
      <c r="H62" s="33">
        <f>Uncertainties_sources!I36</f>
        <v>1.7320508075688772</v>
      </c>
      <c r="I62" s="35">
        <f>INDEX(Uncertainties_sources!D75:F75,1,MATCH(Uncertainties_estimation!J$5,Uncertainties_sources!D$42:F$42,0))</f>
        <v>0</v>
      </c>
      <c r="J62" s="36">
        <f>G62/H62*I62</f>
        <v>0</v>
      </c>
      <c r="K62" s="10">
        <f>J62^2</f>
        <v>0</v>
      </c>
      <c r="L62" s="82">
        <f>(I62*J62)^4/Uncertainties_sources!J36</f>
        <v>0</v>
      </c>
      <c r="N62" s="93"/>
      <c r="O62" s="93"/>
      <c r="P62" s="93"/>
      <c r="Q62" s="93"/>
      <c r="R62" s="93"/>
      <c r="S62" s="93"/>
    </row>
    <row r="63" spans="1:28" x14ac:dyDescent="0.2">
      <c r="A63" s="153"/>
      <c r="B63" s="119" t="str">
        <f>Uncertainties_sources!C36</f>
        <v>Relative uncertainty related to the repeatability of the test cord connector mating to cabling connectors</v>
      </c>
      <c r="C63" s="143" t="str">
        <f>Uncertainties_sources!B36</f>
        <v>5.2.7.2</v>
      </c>
      <c r="D63" s="33" t="str">
        <f>Uncertainties_sources!D36</f>
        <v>B</v>
      </c>
      <c r="E63" s="33" t="str">
        <f>Uncertainties_sources!E36</f>
        <v>%</v>
      </c>
      <c r="F63" s="33" t="str">
        <f>Uncertainties_sources!F36</f>
        <v>Rectangular (1)</v>
      </c>
      <c r="G63" s="33">
        <f>Uncertainties_sources!G37</f>
        <v>0.41399999999999998</v>
      </c>
      <c r="H63" s="33">
        <f>Uncertainties_sources!I37</f>
        <v>1.7320508075688772</v>
      </c>
      <c r="I63" s="35">
        <f>INDEX(Uncertainties_sources!D76:F76,1,MATCH(Uncertainties_estimation!J$5,Uncertainties_sources!D$42:F$42,0))</f>
        <v>0</v>
      </c>
      <c r="J63" s="36">
        <f>G63/H63*I63</f>
        <v>0</v>
      </c>
      <c r="K63" s="10">
        <f>J63^2</f>
        <v>0</v>
      </c>
      <c r="L63" s="82">
        <f>(I63*J63)^4/Uncertainties_sources!J36</f>
        <v>0</v>
      </c>
      <c r="N63" s="93"/>
      <c r="O63" s="93"/>
      <c r="P63" s="93"/>
      <c r="Q63" s="93"/>
      <c r="R63" s="93"/>
      <c r="S63" s="93"/>
    </row>
    <row r="64" spans="1:28" x14ac:dyDescent="0.2">
      <c r="A64" s="153"/>
      <c r="B64" s="121" t="s">
        <v>136</v>
      </c>
      <c r="C64" s="122" t="s">
        <v>158</v>
      </c>
      <c r="D64" s="33" t="str">
        <f>Uncertainties_sources!D37</f>
        <v>B</v>
      </c>
      <c r="E64" s="33" t="str">
        <f>Uncertainties_sources!E37</f>
        <v>%</v>
      </c>
      <c r="F64" s="39" t="s">
        <v>36</v>
      </c>
      <c r="G64" s="39">
        <f>Uncertainties_sources!G19</f>
        <v>6.8999999999999995</v>
      </c>
      <c r="H64" s="33">
        <f>Uncertainties_sources!I19</f>
        <v>2</v>
      </c>
      <c r="I64" s="35">
        <f>INDEX(Uncertainties_sources!D77:F77,1,MATCH(Uncertainties_estimation!J$5,Uncertainties_sources!D$42:F$42,0))</f>
        <v>0</v>
      </c>
      <c r="J64" s="36">
        <f>G64/H64*I64</f>
        <v>0</v>
      </c>
      <c r="K64" s="10">
        <f>J64^2</f>
        <v>0</v>
      </c>
      <c r="L64" s="82">
        <f>(I64*J64)^4/Uncertainties_sources!J37</f>
        <v>0</v>
      </c>
      <c r="N64" s="93"/>
      <c r="O64" s="93"/>
      <c r="P64" s="93"/>
      <c r="Q64" s="93"/>
      <c r="R64" s="93"/>
      <c r="S64" s="93"/>
    </row>
    <row r="65" spans="2:19" x14ac:dyDescent="0.2">
      <c r="K65" s="37">
        <f>SQRT(SUM(K56:K64))</f>
        <v>4.968211716167767</v>
      </c>
      <c r="L65" s="83">
        <f>SUM(L56:L64)</f>
        <v>2.4544754942391095E-3</v>
      </c>
      <c r="N65" s="93"/>
      <c r="O65" s="93"/>
      <c r="P65" s="93"/>
      <c r="Q65" s="93"/>
      <c r="R65" s="93"/>
      <c r="S65" s="93"/>
    </row>
    <row r="66" spans="2:19" x14ac:dyDescent="0.2">
      <c r="B66" s="76" t="s">
        <v>77</v>
      </c>
      <c r="N66" s="93"/>
      <c r="O66" s="93"/>
      <c r="P66" s="93"/>
      <c r="Q66" s="93"/>
      <c r="R66" s="93"/>
      <c r="S66" s="93"/>
    </row>
    <row r="67" spans="2:19" ht="19.5" customHeight="1" x14ac:dyDescent="0.2">
      <c r="B67" s="77"/>
      <c r="C67" s="78"/>
      <c r="D67" s="78"/>
      <c r="E67" s="77"/>
      <c r="F67" s="78"/>
      <c r="G67" s="78"/>
      <c r="H67" s="78"/>
      <c r="I67" s="78"/>
      <c r="J67" s="79"/>
      <c r="K67" s="77"/>
      <c r="L67" s="77" t="s">
        <v>78</v>
      </c>
      <c r="N67" s="93"/>
      <c r="O67" s="93"/>
      <c r="P67" s="93"/>
      <c r="Q67" s="93"/>
      <c r="R67" s="93"/>
      <c r="S67" s="93"/>
    </row>
    <row r="68" spans="2:19" x14ac:dyDescent="0.2">
      <c r="L68" s="75">
        <f>D9^4/(L42+L53+L65)</f>
        <v>5499.7268788305528</v>
      </c>
      <c r="N68" s="93"/>
      <c r="O68" s="93"/>
      <c r="P68" s="93"/>
      <c r="Q68" s="93"/>
      <c r="R68" s="93"/>
      <c r="S68" s="93"/>
    </row>
    <row r="69" spans="2:19" x14ac:dyDescent="0.2">
      <c r="N69" s="93"/>
      <c r="O69" s="93"/>
      <c r="P69" s="93"/>
      <c r="Q69" s="93"/>
      <c r="R69" s="93"/>
      <c r="S69" s="93"/>
    </row>
    <row r="70" spans="2:19" x14ac:dyDescent="0.2">
      <c r="N70" s="93"/>
      <c r="O70" s="93"/>
      <c r="P70" s="93"/>
      <c r="Q70" s="93"/>
      <c r="R70" s="93"/>
      <c r="S70" s="93"/>
    </row>
    <row r="71" spans="2:19" x14ac:dyDescent="0.2">
      <c r="N71" s="93"/>
      <c r="O71" s="93"/>
      <c r="P71" s="93"/>
      <c r="Q71" s="93"/>
      <c r="R71" s="93"/>
      <c r="S71" s="93"/>
    </row>
    <row r="72" spans="2:19" x14ac:dyDescent="0.2">
      <c r="N72" s="93"/>
      <c r="O72" s="93"/>
      <c r="P72" s="93"/>
      <c r="Q72" s="93"/>
      <c r="R72" s="93"/>
      <c r="S72" s="93"/>
    </row>
    <row r="73" spans="2:19" x14ac:dyDescent="0.2">
      <c r="N73" s="93"/>
      <c r="O73" s="93"/>
      <c r="P73" s="93"/>
      <c r="Q73" s="93"/>
      <c r="R73" s="93"/>
      <c r="S73" s="93"/>
    </row>
    <row r="74" spans="2:19" x14ac:dyDescent="0.2">
      <c r="N74" s="93"/>
      <c r="O74" s="93"/>
      <c r="P74" s="93"/>
      <c r="Q74" s="93"/>
      <c r="R74" s="93"/>
      <c r="S74" s="93"/>
    </row>
  </sheetData>
  <mergeCells count="30">
    <mergeCell ref="F19:I19"/>
    <mergeCell ref="B2:F2"/>
    <mergeCell ref="I2:L2"/>
    <mergeCell ref="F17:I17"/>
    <mergeCell ref="F15:I15"/>
    <mergeCell ref="J15:K15"/>
    <mergeCell ref="F8:I8"/>
    <mergeCell ref="F9:I9"/>
    <mergeCell ref="F10:I10"/>
    <mergeCell ref="F11:I11"/>
    <mergeCell ref="F4:K4"/>
    <mergeCell ref="F5:I5"/>
    <mergeCell ref="J5:K5"/>
    <mergeCell ref="F6:I6"/>
    <mergeCell ref="J6:K6"/>
    <mergeCell ref="J19:K19"/>
    <mergeCell ref="F7:I7"/>
    <mergeCell ref="J7:K7"/>
    <mergeCell ref="F12:I12"/>
    <mergeCell ref="L12:M12"/>
    <mergeCell ref="F16:I16"/>
    <mergeCell ref="F14:I14"/>
    <mergeCell ref="F13:I13"/>
    <mergeCell ref="L14:M14"/>
    <mergeCell ref="A61:A64"/>
    <mergeCell ref="A56:A59"/>
    <mergeCell ref="A23:A29"/>
    <mergeCell ref="A31:A41"/>
    <mergeCell ref="A45:A48"/>
    <mergeCell ref="A50:A52"/>
  </mergeCells>
  <conditionalFormatting sqref="J9">
    <cfRule type="cellIs" dxfId="13" priority="17" operator="greaterThan">
      <formula>100</formula>
    </cfRule>
  </conditionalFormatting>
  <conditionalFormatting sqref="J8">
    <cfRule type="cellIs" dxfId="12" priority="15" operator="between">
      <formula>800</formula>
      <formula>1675</formula>
    </cfRule>
    <cfRule type="cellIs" priority="16" operator="between">
      <formula>800</formula>
      <formula>1675</formula>
    </cfRule>
  </conditionalFormatting>
  <conditionalFormatting sqref="J12">
    <cfRule type="expression" dxfId="11" priority="9">
      <formula>AND($J$5="Method A")</formula>
    </cfRule>
    <cfRule type="cellIs" dxfId="10" priority="12" operator="greaterThan">
      <formula>100</formula>
    </cfRule>
  </conditionalFormatting>
  <conditionalFormatting sqref="F12:I12">
    <cfRule type="expression" dxfId="9" priority="11">
      <formula>AND($J$5="Method A")</formula>
    </cfRule>
  </conditionalFormatting>
  <conditionalFormatting sqref="F13:I14">
    <cfRule type="expression" dxfId="8" priority="10">
      <formula>AND($J$5="Method A")</formula>
    </cfRule>
  </conditionalFormatting>
  <conditionalFormatting sqref="J13:J14">
    <cfRule type="expression" dxfId="7" priority="7">
      <formula>AND($J$5="Method A")</formula>
    </cfRule>
    <cfRule type="cellIs" dxfId="6" priority="8" operator="greaterThan">
      <formula>100</formula>
    </cfRule>
  </conditionalFormatting>
  <conditionalFormatting sqref="K12">
    <cfRule type="expression" dxfId="5" priority="6">
      <formula>AND($J$5="Method A")</formula>
    </cfRule>
  </conditionalFormatting>
  <conditionalFormatting sqref="K13:K14">
    <cfRule type="expression" dxfId="4" priority="5">
      <formula>AND($J$5="Method A")</formula>
    </cfRule>
  </conditionalFormatting>
  <conditionalFormatting sqref="L12:O14">
    <cfRule type="expression" dxfId="3" priority="4">
      <formula>AND($J$5="Method A")</formula>
    </cfRule>
  </conditionalFormatting>
  <conditionalFormatting sqref="F15:K17">
    <cfRule type="expression" dxfId="2" priority="3">
      <formula>AND($J$5&lt;&gt;"Method A")</formula>
    </cfRule>
  </conditionalFormatting>
  <conditionalFormatting sqref="J19:K19">
    <cfRule type="containsText" dxfId="1" priority="1" operator="containsText" text="Assymetrical noise">
      <formula>NOT(ISERROR(SEARCH("Assymetrical noise",J19)))</formula>
    </cfRule>
    <cfRule type="containsText" dxfId="0" priority="2" stopIfTrue="1" operator="containsText" text="No">
      <formula>NOT(ISERROR(SEARCH("No",J19)))</formula>
    </cfRule>
  </conditionalFormatting>
  <dataValidations count="12">
    <dataValidation type="whole" allowBlank="1" showInputMessage="1" showErrorMessage="1" sqref="J8" xr:uid="{00000000-0002-0000-0100-000000000000}">
      <formula1>1250</formula1>
      <formula2>1670</formula2>
    </dataValidation>
    <dataValidation type="decimal" allowBlank="1" showInputMessage="1" showErrorMessage="1" sqref="J10" xr:uid="{00000000-0002-0000-0100-000001000000}">
      <formula1>0</formula1>
      <formula2>50</formula2>
    </dataValidation>
    <dataValidation type="list" allowBlank="1" showInputMessage="1" showErrorMessage="1" sqref="J15 J7:K7" xr:uid="{00000000-0002-0000-0100-000002000000}">
      <formula1>"1,2"</formula1>
    </dataValidation>
    <dataValidation type="list" allowBlank="1" showInputMessage="1" showErrorMessage="1" sqref="J5:K5" xr:uid="{00000000-0002-0000-0100-000003000000}">
      <formula1>"Method A,Method B,Method C"</formula1>
    </dataValidation>
    <dataValidation type="whole" allowBlank="1" showInputMessage="1" showErrorMessage="1" sqref="J9" xr:uid="{00000000-0002-0000-0100-000004000000}">
      <formula1>0</formula1>
      <formula2>100</formula2>
    </dataValidation>
    <dataValidation type="whole" allowBlank="1" showInputMessage="1" showErrorMessage="1" sqref="J17" xr:uid="{00000000-0002-0000-0100-000005000000}">
      <formula1>-40</formula1>
      <formula2>20</formula2>
    </dataValidation>
    <dataValidation type="decimal" allowBlank="1" showInputMessage="1" showErrorMessage="1" sqref="J11" xr:uid="{00000000-0002-0000-0100-000006000000}">
      <formula1>0.1</formula1>
      <formula2>50</formula2>
    </dataValidation>
    <dataValidation type="list" allowBlank="1" showInputMessage="1" showErrorMessage="1" sqref="J6:K6" xr:uid="{00000000-0002-0000-0100-000007000000}">
      <formula1>"R1-PC,R2-PC,PC,R1-APC,R2-APC,,APC"</formula1>
    </dataValidation>
    <dataValidation type="decimal" allowBlank="1" showInputMessage="1" showErrorMessage="1" sqref="J16" xr:uid="{00000000-0002-0000-0100-000008000000}">
      <formula1>0</formula1>
      <formula2>0.5</formula2>
    </dataValidation>
    <dataValidation type="decimal" allowBlank="1" showInputMessage="1" showErrorMessage="1" sqref="J13" xr:uid="{67FEF4B9-6204-432B-BA43-1F6F3D82696A}">
      <formula1>1</formula1>
      <formula2>5000</formula2>
    </dataValidation>
    <dataValidation type="decimal" allowBlank="1" showInputMessage="1" showErrorMessage="1" sqref="J12" xr:uid="{6027CED5-2650-4196-8E51-25ABDEA32EBD}">
      <formula1>0.05</formula1>
      <formula2>20</formula2>
    </dataValidation>
    <dataValidation type="decimal" allowBlank="1" showInputMessage="1" showErrorMessage="1" sqref="J14 J16:J17" xr:uid="{A4EA29D6-2649-4372-8908-1F84CA202C57}">
      <formula1>0.01</formula1>
      <formula2>100</formula2>
    </dataValidation>
  </dataValidations>
  <printOptions horizontalCentered="1"/>
  <pageMargins left="0.23622047244094491" right="0.23622047244094491" top="0.55118110236220474" bottom="0.55118110236220474" header="0.11811023622047245" footer="0.11811023622047245"/>
  <pageSetup paperSize="9" scale="73" fitToWidth="0" fitToHeight="0" orientation="landscape" r:id="rId1"/>
  <headerFooter>
    <oddHeader>&amp;C&amp;F</oddHeader>
    <oddFooter>Page &amp;P</oddFooter>
    <evenHeader>&amp;C&amp;F</evenHeader>
    <evenFooter>&amp;CPage &amp;P</evenFooter>
    <firstHeader>&amp;C&amp;F</firstHeader>
    <firstFooter>&amp;CPage &amp;P</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AD77"/>
  <sheetViews>
    <sheetView topLeftCell="A22" workbookViewId="0">
      <selection activeCell="B79" sqref="B79"/>
    </sheetView>
  </sheetViews>
  <sheetFormatPr defaultColWidth="11.42578125" defaultRowHeight="12.75" x14ac:dyDescent="0.2"/>
  <cols>
    <col min="1" max="1" width="7.28515625" customWidth="1"/>
    <col min="2" max="2" width="9.7109375" customWidth="1"/>
    <col min="3" max="3" width="114.140625" style="31" customWidth="1"/>
    <col min="4" max="4" width="11.7109375" style="31" customWidth="1"/>
    <col min="5" max="5" width="8.28515625" customWidth="1"/>
    <col min="6" max="6" width="13.42578125" customWidth="1"/>
    <col min="7" max="8" width="10.7109375" customWidth="1"/>
    <col min="9" max="9" width="9.7109375" customWidth="1"/>
    <col min="10" max="10" width="8.7109375" customWidth="1"/>
    <col min="11" max="13" width="14.7109375" customWidth="1"/>
    <col min="14" max="14" width="12.42578125" bestFit="1" customWidth="1"/>
    <col min="15" max="15" width="12.28515625" customWidth="1"/>
    <col min="16" max="16" width="15" customWidth="1"/>
    <col min="17" max="17" width="11.42578125" customWidth="1"/>
    <col min="18" max="18" width="12.42578125" customWidth="1"/>
    <col min="19" max="19" width="11.42578125" customWidth="1"/>
  </cols>
  <sheetData>
    <row r="1" spans="1:30" ht="13.5" thickBot="1" x14ac:dyDescent="0.25">
      <c r="N1" s="60"/>
      <c r="O1" s="60"/>
      <c r="P1" s="60"/>
      <c r="Q1" s="60"/>
      <c r="R1" s="60"/>
      <c r="S1" s="60"/>
      <c r="T1" s="60"/>
      <c r="U1" s="60"/>
      <c r="V1" s="60"/>
      <c r="W1" s="60"/>
      <c r="X1" s="60"/>
      <c r="Y1" s="60"/>
      <c r="Z1" s="60"/>
      <c r="AA1" s="60"/>
      <c r="AB1" s="60"/>
      <c r="AC1" s="60"/>
      <c r="AD1" s="60"/>
    </row>
    <row r="2" spans="1:30" ht="37.5" customHeight="1" thickBot="1" x14ac:dyDescent="0.25">
      <c r="C2" s="164" t="s">
        <v>143</v>
      </c>
      <c r="D2" s="164"/>
      <c r="E2" s="164"/>
      <c r="F2" s="164"/>
      <c r="G2" s="164"/>
      <c r="J2" s="165" t="s">
        <v>205</v>
      </c>
      <c r="K2" s="166"/>
      <c r="L2" s="166"/>
      <c r="M2" s="167"/>
      <c r="N2" s="60"/>
      <c r="O2" s="60"/>
      <c r="P2" s="60"/>
      <c r="Q2" s="60"/>
      <c r="R2" s="60"/>
      <c r="S2" s="60"/>
      <c r="T2" s="60"/>
      <c r="U2" s="60"/>
      <c r="V2" s="60"/>
      <c r="W2" s="60"/>
      <c r="X2" s="60"/>
      <c r="Y2" s="60"/>
      <c r="Z2" s="60"/>
      <c r="AA2" s="60"/>
      <c r="AB2" s="60"/>
      <c r="AC2" s="60"/>
      <c r="AD2" s="60"/>
    </row>
    <row r="3" spans="1:30" x14ac:dyDescent="0.2">
      <c r="B3" s="187"/>
      <c r="C3" s="187"/>
      <c r="D3" s="29"/>
      <c r="N3" s="60"/>
      <c r="O3" s="60"/>
      <c r="P3" s="60"/>
      <c r="Q3" s="60"/>
      <c r="R3" s="60"/>
      <c r="S3" s="60"/>
      <c r="T3" s="60"/>
      <c r="U3" s="60"/>
      <c r="V3" s="60"/>
      <c r="W3" s="60"/>
      <c r="X3" s="60"/>
      <c r="Y3" s="60"/>
      <c r="Z3" s="60"/>
      <c r="AA3" s="60"/>
      <c r="AB3" s="60"/>
      <c r="AC3" s="60"/>
      <c r="AD3" s="60"/>
    </row>
    <row r="4" spans="1:30" ht="51" customHeight="1" x14ac:dyDescent="0.2">
      <c r="B4" s="38" t="s">
        <v>32</v>
      </c>
      <c r="C4" s="87" t="s">
        <v>26</v>
      </c>
      <c r="D4" s="88" t="s">
        <v>28</v>
      </c>
      <c r="E4" s="87" t="s">
        <v>29</v>
      </c>
      <c r="F4" s="88" t="s">
        <v>30</v>
      </c>
      <c r="G4" s="88" t="s">
        <v>23</v>
      </c>
      <c r="H4" s="88" t="s">
        <v>19</v>
      </c>
      <c r="I4" s="88" t="s">
        <v>75</v>
      </c>
      <c r="J4" s="89" t="s">
        <v>74</v>
      </c>
      <c r="K4" s="188" t="s">
        <v>33</v>
      </c>
      <c r="L4" s="189"/>
      <c r="M4" s="190"/>
      <c r="N4" s="60"/>
      <c r="O4" s="60"/>
      <c r="P4" s="60"/>
      <c r="Q4" s="60"/>
      <c r="R4" s="60"/>
      <c r="S4" s="60"/>
      <c r="T4" s="60"/>
      <c r="U4" s="60"/>
      <c r="V4" s="60"/>
      <c r="W4" s="60"/>
      <c r="X4" s="60"/>
      <c r="Y4" s="60"/>
      <c r="Z4" s="60"/>
      <c r="AA4" s="60"/>
      <c r="AB4" s="60"/>
      <c r="AC4" s="60"/>
      <c r="AD4" s="60"/>
    </row>
    <row r="5" spans="1:30" ht="12.75" customHeight="1" x14ac:dyDescent="0.2">
      <c r="A5" s="154" t="s">
        <v>186</v>
      </c>
      <c r="B5" s="122" t="s">
        <v>144</v>
      </c>
      <c r="C5" s="121" t="s">
        <v>125</v>
      </c>
      <c r="D5" s="39" t="s">
        <v>34</v>
      </c>
      <c r="E5" s="39" t="s">
        <v>23</v>
      </c>
      <c r="F5" s="39" t="s">
        <v>36</v>
      </c>
      <c r="G5" s="112">
        <f>23*H5</f>
        <v>2.9728564489683453</v>
      </c>
      <c r="H5" s="113">
        <f>0.0434*ABS(100000*Uncertainties_estimation!J11*Uncertainties_estimation!J9*IF(Uncertainties_estimation!J8&lt;1385,S8+2*T8*Uncertainties_estimation!J8+3*U8*Uncertainties_estimation!J8^2+4*V8*Uncertainties_estimation!J8^3+5*W8*Uncertainties_estimation!J8^4+6*X8*Uncertainties_estimation!J8^5,S9+2*T9*Uncertainties_estimation!J8+3*U9*Uncertainties_estimation!J8^2+4*V9*Uncertainties_estimation!J8^3+5*W9*Uncertainties_estimation!J8^4+6*X9*Uncertainties_estimation!J8^5))</f>
        <v>0.12925462821601502</v>
      </c>
      <c r="I5" s="66">
        <f>IF(F5="Rectangular (1)", SQRT(3),IF(F5="Rectangular (2)",2*SQRT(3),IF(F5="Normal (2)",2,IF(F5="Normal (3)",3,1))))</f>
        <v>2</v>
      </c>
      <c r="J5" s="39">
        <v>200</v>
      </c>
      <c r="K5" s="172" t="s">
        <v>185</v>
      </c>
      <c r="L5" s="173"/>
      <c r="M5" s="174"/>
      <c r="N5" s="98">
        <v>3.992E+20</v>
      </c>
      <c r="O5" s="98">
        <v>-1844000000000000</v>
      </c>
      <c r="P5" s="61">
        <f>$L$4+$M$4*$A46+$N$4*$A46^2+$O$4*$A46^3+$P$4*$A46^4+$Q$4*$A46^5+$R$4*($A46^6)</f>
        <v>0</v>
      </c>
      <c r="Q5" s="62"/>
      <c r="R5" s="62"/>
      <c r="S5" s="62"/>
      <c r="T5" s="62"/>
      <c r="U5" s="62"/>
      <c r="V5" s="62"/>
      <c r="W5" s="62"/>
      <c r="X5" s="62"/>
      <c r="Y5" s="93"/>
      <c r="Z5" s="93"/>
      <c r="AA5" s="93"/>
      <c r="AB5" s="93"/>
      <c r="AC5" s="93"/>
      <c r="AD5" s="93"/>
    </row>
    <row r="6" spans="1:30" ht="12.75" customHeight="1" x14ac:dyDescent="0.2">
      <c r="A6" s="154"/>
      <c r="B6" s="122" t="s">
        <v>145</v>
      </c>
      <c r="C6" s="121" t="s">
        <v>126</v>
      </c>
      <c r="D6" s="39" t="s">
        <v>34</v>
      </c>
      <c r="E6" s="39" t="s">
        <v>19</v>
      </c>
      <c r="F6" s="39" t="s">
        <v>36</v>
      </c>
      <c r="G6" s="112">
        <f>23*H6</f>
        <v>5.2184427113687688</v>
      </c>
      <c r="H6" s="113">
        <f>2*0.25*SIN(6.28*Uncertainties_estimation!J9/(2*200))</f>
        <v>0.22688881353777257</v>
      </c>
      <c r="I6" s="66">
        <f t="shared" ref="I6:I19" si="0">IF(F6="Rectangular (1)", SQRT(3),IF(F6="Rectangular (2)",2*SQRT(3),IF(F6="Normal (2)",2,IF(F6="Normal (3)",3,1))))</f>
        <v>2</v>
      </c>
      <c r="J6" s="39">
        <v>200</v>
      </c>
      <c r="K6" s="172" t="s">
        <v>178</v>
      </c>
      <c r="L6" s="173"/>
      <c r="M6" s="174"/>
      <c r="N6" s="98">
        <f>(3*N5*(Uncertainties_estimation!J8*0.000000001)^2+2*Uncertainties_sources!O5*(Uncertainties_estimation!J8*0.000000001)+Uncertainties_sources!P5)*(Uncertainties_estimation!J9*0.000000001)</f>
        <v>-83.28235920000003</v>
      </c>
      <c r="O6" s="99"/>
      <c r="P6" s="63"/>
      <c r="Q6" s="140" t="s">
        <v>57</v>
      </c>
      <c r="R6" s="141" t="s">
        <v>58</v>
      </c>
      <c r="S6" s="141" t="s">
        <v>59</v>
      </c>
      <c r="T6" s="141" t="s">
        <v>60</v>
      </c>
      <c r="U6" s="141" t="s">
        <v>61</v>
      </c>
      <c r="V6" s="141" t="s">
        <v>62</v>
      </c>
      <c r="W6" s="141" t="s">
        <v>63</v>
      </c>
      <c r="X6" s="141" t="s">
        <v>64</v>
      </c>
      <c r="Y6" s="93"/>
      <c r="Z6" s="93"/>
      <c r="AA6" s="93"/>
      <c r="AB6" s="93"/>
      <c r="AC6" s="93"/>
      <c r="AD6" s="93"/>
    </row>
    <row r="7" spans="1:30" ht="12.75" customHeight="1" x14ac:dyDescent="0.2">
      <c r="A7" s="154"/>
      <c r="B7" s="122" t="s">
        <v>146</v>
      </c>
      <c r="C7" s="121" t="s">
        <v>127</v>
      </c>
      <c r="D7" s="39" t="s">
        <v>34</v>
      </c>
      <c r="E7" s="39" t="s">
        <v>19</v>
      </c>
      <c r="F7" s="39" t="s">
        <v>35</v>
      </c>
      <c r="G7" s="112">
        <f t="shared" ref="G7:G19" si="1">23*H7</f>
        <v>1.1500000000000001</v>
      </c>
      <c r="H7" s="113">
        <v>0.05</v>
      </c>
      <c r="I7" s="66">
        <f t="shared" si="0"/>
        <v>1.7320508075688772</v>
      </c>
      <c r="J7" s="39">
        <v>200</v>
      </c>
      <c r="K7" s="172" t="s">
        <v>180</v>
      </c>
      <c r="L7" s="173"/>
      <c r="M7" s="174"/>
      <c r="N7" s="60"/>
      <c r="O7" s="100"/>
      <c r="P7" s="64" t="s">
        <v>65</v>
      </c>
      <c r="Q7" s="64" t="s">
        <v>66</v>
      </c>
      <c r="R7" s="142">
        <v>0.52418799999999999</v>
      </c>
      <c r="S7" s="142">
        <v>-2.9378300000000002E-3</v>
      </c>
      <c r="T7" s="142">
        <v>6.8503600000000003E-6</v>
      </c>
      <c r="U7" s="142">
        <v>-8.4858800000000005E-9</v>
      </c>
      <c r="V7" s="142">
        <v>5.8835499999999999E-12</v>
      </c>
      <c r="W7" s="142">
        <v>-2.1638000000000002E-15</v>
      </c>
      <c r="X7" s="142">
        <v>3.2972499999999999E-19</v>
      </c>
      <c r="Y7" s="93"/>
      <c r="Z7" s="93"/>
      <c r="AA7" s="93"/>
      <c r="AB7" s="93"/>
      <c r="AC7" s="93"/>
      <c r="AD7" s="93"/>
    </row>
    <row r="8" spans="1:30" ht="12.75" customHeight="1" x14ac:dyDescent="0.2">
      <c r="A8" s="154"/>
      <c r="B8" s="122" t="s">
        <v>147</v>
      </c>
      <c r="C8" s="121" t="s">
        <v>128</v>
      </c>
      <c r="D8" s="39" t="s">
        <v>34</v>
      </c>
      <c r="E8" s="39" t="s">
        <v>19</v>
      </c>
      <c r="F8" s="39" t="s">
        <v>35</v>
      </c>
      <c r="G8" s="112">
        <f t="shared" si="1"/>
        <v>2.3E-2</v>
      </c>
      <c r="H8" s="113">
        <v>1E-3</v>
      </c>
      <c r="I8" s="66">
        <f t="shared" si="0"/>
        <v>1.7320508075688772</v>
      </c>
      <c r="J8" s="39">
        <v>9.9999999999999997E+98</v>
      </c>
      <c r="K8" s="172" t="s">
        <v>203</v>
      </c>
      <c r="L8" s="173"/>
      <c r="M8" s="174"/>
      <c r="N8" s="60">
        <f>(3*399200000000000000000*(Uncertainties_estimation!$J$8*0.000000001)^2+2*-1844000000000000*(Uncertainties_estimation!$J$8*0.000000001)+2838000000)*(Uncertainties_estimation!$J$9*0.000000001)</f>
        <v>1.857640799999986</v>
      </c>
      <c r="O8" s="60" t="s">
        <v>19</v>
      </c>
      <c r="P8" s="64" t="s">
        <v>67</v>
      </c>
      <c r="Q8" s="64" t="s">
        <v>68</v>
      </c>
      <c r="R8" s="142">
        <v>-7.5107999999999994E-2</v>
      </c>
      <c r="S8" s="142">
        <v>1.71989E-4</v>
      </c>
      <c r="T8" s="142">
        <v>-1.30954E-7</v>
      </c>
      <c r="U8" s="142">
        <v>3.3188099999999999E-11</v>
      </c>
      <c r="V8" s="64">
        <v>0</v>
      </c>
      <c r="W8" s="64">
        <v>0</v>
      </c>
      <c r="X8" s="64">
        <v>0</v>
      </c>
      <c r="Y8" s="93"/>
      <c r="Z8" s="93"/>
      <c r="AA8" s="93"/>
      <c r="AB8" s="93"/>
      <c r="AC8" s="93"/>
      <c r="AD8" s="93"/>
    </row>
    <row r="9" spans="1:30" ht="12.75" customHeight="1" x14ac:dyDescent="0.2">
      <c r="A9" s="154"/>
      <c r="B9" s="122" t="s">
        <v>148</v>
      </c>
      <c r="C9" s="121" t="s">
        <v>129</v>
      </c>
      <c r="D9" s="39" t="s">
        <v>130</v>
      </c>
      <c r="E9" s="39" t="s">
        <v>19</v>
      </c>
      <c r="F9" s="39" t="s">
        <v>36</v>
      </c>
      <c r="G9" s="112">
        <f t="shared" si="1"/>
        <v>2.5012068344909775</v>
      </c>
      <c r="H9" s="113">
        <f>(LOG10(1+10^((-1)*Uncertainties_estimation!J12/5))-LOG10(1-10^((-1)*Uncertainties_estimation!J12/5)))*(5/2.05)*SQRT((1/Uncertainties_estimation!N14 )+(Uncertainties_estimation!N14^2)/(4*(Uncertainties_estimation!N14^3/12+Uncertainties_estimation!N14/6)))</f>
        <v>0.10874812323873816</v>
      </c>
      <c r="I9" s="66">
        <f t="shared" si="0"/>
        <v>2</v>
      </c>
      <c r="J9" s="39">
        <f>(Uncertainties_estimation!N$14-2)</f>
        <v>98</v>
      </c>
      <c r="K9" s="172" t="s">
        <v>179</v>
      </c>
      <c r="L9" s="173"/>
      <c r="M9" s="174"/>
      <c r="N9" s="60"/>
      <c r="O9" s="60"/>
      <c r="P9" s="64" t="s">
        <v>67</v>
      </c>
      <c r="Q9" s="64" t="s">
        <v>69</v>
      </c>
      <c r="R9" s="142">
        <v>0.13755999999999999</v>
      </c>
      <c r="S9" s="142">
        <v>-3.6239399999999999E-4</v>
      </c>
      <c r="T9" s="142">
        <v>3.5867900000000001E-7</v>
      </c>
      <c r="U9" s="142">
        <v>-1.5798699999999999E-10</v>
      </c>
      <c r="V9" s="142">
        <v>2.6124699999999999E-14</v>
      </c>
      <c r="W9" s="64">
        <v>0</v>
      </c>
      <c r="X9" s="64">
        <v>0</v>
      </c>
      <c r="Y9" s="93"/>
      <c r="Z9" s="93"/>
      <c r="AA9" s="93"/>
      <c r="AB9" s="93"/>
      <c r="AC9" s="93"/>
      <c r="AD9" s="93"/>
    </row>
    <row r="10" spans="1:30" ht="12.75" customHeight="1" x14ac:dyDescent="0.2">
      <c r="A10" s="154"/>
      <c r="B10" s="122" t="s">
        <v>149</v>
      </c>
      <c r="C10" s="121" t="s">
        <v>131</v>
      </c>
      <c r="D10" s="39" t="s">
        <v>130</v>
      </c>
      <c r="E10" s="39" t="s">
        <v>19</v>
      </c>
      <c r="F10" s="39" t="s">
        <v>36</v>
      </c>
      <c r="G10" s="112">
        <f t="shared" si="1"/>
        <v>3.8793209708091537E-4</v>
      </c>
      <c r="H10" s="113">
        <f>(LOG10(1+10^((-1)*(Uncertainties_estimation!J12+Uncertainties_estimation!J10)/5))-LOG10(1-10^((-1)*(Uncertainties_estimation!J12+Uncertainties_estimation!J10)/5)))*(5/2.05)*SQRT((1/Uncertainties_estimation!N14 )+(Uncertainties_estimation!N14^2)/(4*(Uncertainties_estimation!N14^3/12+Uncertainties_estimation!N14/6)))</f>
        <v>1.6866612916561537E-5</v>
      </c>
      <c r="I10" s="66">
        <f t="shared" si="0"/>
        <v>2</v>
      </c>
      <c r="J10" s="39">
        <f>(Uncertainties_estimation!N$14-2)</f>
        <v>98</v>
      </c>
      <c r="K10" s="172" t="s">
        <v>179</v>
      </c>
      <c r="L10" s="173"/>
      <c r="M10" s="174"/>
      <c r="N10" s="60">
        <f>ABS((10^(((3*399200000000000000000*(Uncertainties_estimation!$J$8*0.000000001)^2+2*-1844000000000000*(Uncertainties_estimation!$J$8*0.000000001)+2838000000)*(Uncertainties_estimation!$J$9*0.000000001))/10)-1)*100)</f>
        <v>53.378356553321147</v>
      </c>
      <c r="O10" s="60"/>
      <c r="P10" s="62">
        <v>0.5355237751153874</v>
      </c>
      <c r="Q10" s="62"/>
      <c r="R10" s="62"/>
      <c r="S10" s="62"/>
      <c r="T10" s="62"/>
      <c r="U10" s="62"/>
      <c r="V10" s="62"/>
      <c r="W10" s="62"/>
      <c r="X10" s="62"/>
      <c r="Y10" s="93"/>
      <c r="Z10" s="93"/>
      <c r="AA10" s="93"/>
      <c r="AB10" s="93"/>
      <c r="AC10" s="93"/>
      <c r="AD10" s="93"/>
    </row>
    <row r="11" spans="1:30" ht="12.75" customHeight="1" x14ac:dyDescent="0.2">
      <c r="A11" s="154"/>
      <c r="B11" s="122" t="s">
        <v>150</v>
      </c>
      <c r="C11" s="121" t="s">
        <v>132</v>
      </c>
      <c r="D11" s="39" t="s">
        <v>130</v>
      </c>
      <c r="E11" s="39" t="s">
        <v>19</v>
      </c>
      <c r="F11" s="39" t="s">
        <v>35</v>
      </c>
      <c r="G11" s="112">
        <f t="shared" si="1"/>
        <v>0.77160377969224592</v>
      </c>
      <c r="H11" s="113">
        <f>0.0434*ABS(1000*Uncertainties_estimation!J15*10*IF(Uncertainties_estimation!J8&lt;1385,R8+S8*Uncertainties_estimation!J8+T8*Uncertainties_estimation!J8^2+U8*Uncertainties_estimation!J8^3+V8*Uncertainties_estimation!J8^4+W8*Uncertainties_estimation!J8^5,R9+S9*Uncertainties_estimation!J8+T9*Uncertainties_estimation!J8^2+U9*Uncertainties_estimation!J8^3+V9*Uncertainties_estimation!J8^4+W9*Uncertainties_estimation!J8^5))</f>
        <v>3.3547990421401996E-2</v>
      </c>
      <c r="I11" s="66">
        <f t="shared" si="0"/>
        <v>1.7320508075688772</v>
      </c>
      <c r="J11" s="39">
        <v>200</v>
      </c>
      <c r="K11" s="172" t="s">
        <v>181</v>
      </c>
      <c r="L11" s="173"/>
      <c r="M11" s="174"/>
      <c r="N11" s="60"/>
      <c r="O11" s="60"/>
      <c r="P11" s="62"/>
      <c r="Q11" s="62"/>
      <c r="R11" s="62"/>
      <c r="S11" s="62"/>
      <c r="T11" s="62"/>
      <c r="U11" s="62"/>
      <c r="V11" s="62"/>
      <c r="W11" s="62"/>
      <c r="X11" s="62"/>
      <c r="Y11" s="93"/>
      <c r="Z11" s="93"/>
      <c r="AA11" s="93"/>
      <c r="AB11" s="93"/>
      <c r="AC11" s="93"/>
      <c r="AD11" s="93"/>
    </row>
    <row r="12" spans="1:30" ht="12.75" customHeight="1" x14ac:dyDescent="0.2">
      <c r="A12" s="154"/>
      <c r="B12" s="122" t="s">
        <v>151</v>
      </c>
      <c r="C12" s="121" t="s">
        <v>133</v>
      </c>
      <c r="D12" s="39" t="s">
        <v>34</v>
      </c>
      <c r="E12" s="39" t="s">
        <v>19</v>
      </c>
      <c r="F12" s="39" t="s">
        <v>35</v>
      </c>
      <c r="G12" s="112">
        <f t="shared" si="1"/>
        <v>2.3000000000000003</v>
      </c>
      <c r="H12" s="113">
        <f>IF(Uncertainties_estimation!J5="Method B",0.1,0)</f>
        <v>0.1</v>
      </c>
      <c r="I12" s="66">
        <f t="shared" si="0"/>
        <v>1.7320508075688772</v>
      </c>
      <c r="J12" s="39">
        <v>5000</v>
      </c>
      <c r="K12" s="172" t="s">
        <v>182</v>
      </c>
      <c r="L12" s="173"/>
      <c r="M12" s="174"/>
      <c r="N12" s="60"/>
      <c r="O12" s="60"/>
      <c r="P12" s="62"/>
      <c r="Q12" s="133"/>
      <c r="R12" s="133"/>
      <c r="S12" s="133"/>
      <c r="T12" s="133"/>
      <c r="U12" s="133"/>
      <c r="V12" s="133"/>
      <c r="W12" s="133"/>
      <c r="X12" s="133"/>
      <c r="Y12" s="93"/>
      <c r="Z12" s="93"/>
      <c r="AA12" s="93"/>
      <c r="AB12" s="93"/>
      <c r="AC12" s="93"/>
      <c r="AD12" s="93"/>
    </row>
    <row r="13" spans="1:30" ht="12.75" customHeight="1" x14ac:dyDescent="0.2">
      <c r="A13" s="154"/>
      <c r="B13" s="122" t="s">
        <v>152</v>
      </c>
      <c r="C13" s="121" t="s">
        <v>134</v>
      </c>
      <c r="D13" s="39" t="s">
        <v>34</v>
      </c>
      <c r="E13" s="39" t="s">
        <v>19</v>
      </c>
      <c r="F13" s="39" t="s">
        <v>36</v>
      </c>
      <c r="G13" s="112">
        <f t="shared" si="1"/>
        <v>7.36</v>
      </c>
      <c r="H13" s="113">
        <v>0.32</v>
      </c>
      <c r="I13" s="66">
        <f t="shared" si="0"/>
        <v>2</v>
      </c>
      <c r="J13" s="39">
        <v>5000</v>
      </c>
      <c r="K13" s="172" t="s">
        <v>182</v>
      </c>
      <c r="L13" s="173"/>
      <c r="M13" s="174"/>
      <c r="N13" s="60"/>
      <c r="O13" s="60"/>
      <c r="P13" s="62"/>
      <c r="Q13" s="133"/>
      <c r="R13" s="133"/>
      <c r="S13" s="133"/>
      <c r="T13" s="133"/>
      <c r="U13" s="133"/>
      <c r="V13" s="133"/>
      <c r="W13" s="133"/>
      <c r="X13" s="133"/>
      <c r="Y13" s="93"/>
      <c r="Z13" s="93"/>
      <c r="AA13" s="93"/>
      <c r="AB13" s="93"/>
      <c r="AC13" s="93"/>
      <c r="AD13" s="93"/>
    </row>
    <row r="14" spans="1:30" ht="12.75" customHeight="1" x14ac:dyDescent="0.2">
      <c r="A14" s="154"/>
      <c r="B14" s="122" t="s">
        <v>153</v>
      </c>
      <c r="C14" s="121" t="s">
        <v>135</v>
      </c>
      <c r="D14" s="39" t="s">
        <v>34</v>
      </c>
      <c r="E14" s="39" t="s">
        <v>19</v>
      </c>
      <c r="F14" s="39" t="s">
        <v>36</v>
      </c>
      <c r="G14" s="112">
        <f t="shared" si="1"/>
        <v>4.6000000000000005</v>
      </c>
      <c r="H14" s="35">
        <f>IF(OR(Uncertainties_estimation!J6="R1-PC",Uncertainties_estimation!J6="R1-APC"),0.1,IF(OR(Uncertainties_estimation!J6="R2-PC",Uncertainties_estimation!J6="R2-APC"),0.2,0.75))</f>
        <v>0.2</v>
      </c>
      <c r="I14" s="66">
        <f t="shared" si="0"/>
        <v>2</v>
      </c>
      <c r="J14" s="39">
        <v>5000</v>
      </c>
      <c r="K14" s="181" t="s">
        <v>190</v>
      </c>
      <c r="L14" s="182"/>
      <c r="M14" s="183"/>
      <c r="N14" s="60"/>
      <c r="O14" s="60"/>
      <c r="P14" s="60"/>
      <c r="Q14" s="93"/>
      <c r="R14" s="93"/>
      <c r="S14" s="93"/>
      <c r="T14" s="93"/>
      <c r="U14" s="93"/>
      <c r="V14" s="93"/>
      <c r="W14" s="93"/>
      <c r="X14" s="93"/>
      <c r="Y14" s="93"/>
      <c r="Z14" s="93"/>
      <c r="AA14" s="93"/>
      <c r="AB14" s="93"/>
      <c r="AC14" s="93"/>
      <c r="AD14" s="93"/>
    </row>
    <row r="15" spans="1:30" ht="12.75" customHeight="1" x14ac:dyDescent="0.2">
      <c r="A15" s="154"/>
      <c r="B15" s="122" t="s">
        <v>154</v>
      </c>
      <c r="C15" s="121" t="s">
        <v>117</v>
      </c>
      <c r="D15" s="39" t="s">
        <v>34</v>
      </c>
      <c r="E15" s="39" t="s">
        <v>19</v>
      </c>
      <c r="F15" s="39" t="s">
        <v>35</v>
      </c>
      <c r="G15" s="112">
        <f t="shared" si="1"/>
        <v>1.1500000000000001</v>
      </c>
      <c r="H15" s="35">
        <v>0.05</v>
      </c>
      <c r="I15" s="66">
        <f t="shared" si="0"/>
        <v>1.7320508075688772</v>
      </c>
      <c r="J15" s="39">
        <v>5000</v>
      </c>
      <c r="K15" s="172" t="s">
        <v>202</v>
      </c>
      <c r="L15" s="173"/>
      <c r="M15" s="174"/>
      <c r="N15" s="60" t="s">
        <v>24</v>
      </c>
      <c r="O15" s="60"/>
      <c r="P15" s="60"/>
      <c r="Q15" s="93"/>
      <c r="R15" s="93"/>
      <c r="S15" s="93"/>
      <c r="T15" s="93"/>
      <c r="U15" s="93"/>
      <c r="V15" s="93"/>
      <c r="W15" s="93"/>
      <c r="X15" s="93"/>
      <c r="Y15" s="93"/>
      <c r="Z15" s="93"/>
      <c r="AA15" s="93"/>
      <c r="AB15" s="93"/>
      <c r="AC15" s="93"/>
      <c r="AD15" s="93"/>
    </row>
    <row r="16" spans="1:30" ht="12.75" customHeight="1" x14ac:dyDescent="0.2">
      <c r="A16" s="154"/>
      <c r="B16" s="122" t="s">
        <v>155</v>
      </c>
      <c r="C16" s="121" t="s">
        <v>99</v>
      </c>
      <c r="D16" s="39" t="s">
        <v>34</v>
      </c>
      <c r="E16" s="39" t="s">
        <v>19</v>
      </c>
      <c r="F16" s="39" t="s">
        <v>36</v>
      </c>
      <c r="G16" s="112">
        <f t="shared" si="1"/>
        <v>4.6000000000000005</v>
      </c>
      <c r="H16" s="35">
        <f>IF(OR(Uncertainties_estimation!J6="R1-PC",Uncertainties_estimation!J6="R1-APC"),0.1,IF(OR(Uncertainties_estimation!J6="R2-PC",Uncertainties_estimation!J6="R2-APC"),0.2,0.75))</f>
        <v>0.2</v>
      </c>
      <c r="I16" s="66">
        <f t="shared" si="0"/>
        <v>2</v>
      </c>
      <c r="J16" s="39">
        <v>5000</v>
      </c>
      <c r="K16" s="181" t="s">
        <v>189</v>
      </c>
      <c r="L16" s="182"/>
      <c r="M16" s="183"/>
      <c r="N16" s="60"/>
      <c r="O16" s="60"/>
      <c r="P16" s="60"/>
      <c r="Q16" s="93"/>
      <c r="R16" s="93"/>
      <c r="S16" s="93"/>
      <c r="T16" s="93"/>
      <c r="U16" s="93"/>
      <c r="V16" s="93"/>
      <c r="W16" s="93"/>
      <c r="X16" s="93"/>
      <c r="Y16" s="93"/>
      <c r="Z16" s="93"/>
      <c r="AA16" s="93"/>
      <c r="AB16" s="93"/>
      <c r="AC16" s="93"/>
      <c r="AD16" s="93"/>
    </row>
    <row r="17" spans="1:30" ht="12.75" customHeight="1" x14ac:dyDescent="0.2">
      <c r="A17" s="154"/>
      <c r="B17" s="122" t="s">
        <v>156</v>
      </c>
      <c r="C17" s="121" t="s">
        <v>116</v>
      </c>
      <c r="D17" s="39" t="s">
        <v>34</v>
      </c>
      <c r="E17" s="39" t="s">
        <v>19</v>
      </c>
      <c r="F17" s="39" t="s">
        <v>35</v>
      </c>
      <c r="G17" s="112">
        <f t="shared" si="1"/>
        <v>1.1500000000000001</v>
      </c>
      <c r="H17" s="35">
        <v>0.05</v>
      </c>
      <c r="I17" s="66">
        <f t="shared" si="0"/>
        <v>1.7320508075688772</v>
      </c>
      <c r="J17" s="39">
        <v>5000</v>
      </c>
      <c r="K17" s="181" t="s">
        <v>201</v>
      </c>
      <c r="L17" s="182"/>
      <c r="M17" s="183"/>
      <c r="N17" s="60"/>
      <c r="O17" s="60"/>
      <c r="P17" s="60"/>
      <c r="Q17" s="93"/>
      <c r="R17" s="93"/>
      <c r="S17" s="93"/>
      <c r="T17" s="93"/>
      <c r="U17" s="93"/>
      <c r="V17" s="93"/>
      <c r="W17" s="93"/>
      <c r="X17" s="93"/>
      <c r="Y17" s="93"/>
      <c r="Z17" s="93"/>
      <c r="AA17" s="93"/>
      <c r="AB17" s="93"/>
      <c r="AC17" s="93"/>
      <c r="AD17" s="93"/>
    </row>
    <row r="18" spans="1:30" ht="12.75" customHeight="1" x14ac:dyDescent="0.2">
      <c r="A18" s="154"/>
      <c r="B18" s="122" t="s">
        <v>157</v>
      </c>
      <c r="C18" s="121" t="s">
        <v>100</v>
      </c>
      <c r="D18" s="39" t="s">
        <v>34</v>
      </c>
      <c r="E18" s="39" t="s">
        <v>19</v>
      </c>
      <c r="F18" s="39" t="s">
        <v>35</v>
      </c>
      <c r="G18" s="112">
        <f t="shared" si="1"/>
        <v>1.1500000000000001</v>
      </c>
      <c r="H18" s="35">
        <v>0.05</v>
      </c>
      <c r="I18" s="66">
        <f t="shared" si="0"/>
        <v>1.7320508075688772</v>
      </c>
      <c r="J18" s="39">
        <v>200</v>
      </c>
      <c r="K18" s="172" t="s">
        <v>201</v>
      </c>
      <c r="L18" s="173"/>
      <c r="M18" s="174"/>
      <c r="N18" s="60"/>
      <c r="O18" s="60"/>
      <c r="P18" s="60"/>
      <c r="Q18" s="93"/>
      <c r="R18" s="93"/>
      <c r="S18" s="93"/>
      <c r="T18" s="93"/>
      <c r="U18" s="93"/>
      <c r="V18" s="93"/>
      <c r="W18" s="93"/>
      <c r="X18" s="93"/>
      <c r="Y18" s="93"/>
      <c r="Z18" s="93"/>
      <c r="AA18" s="93"/>
      <c r="AB18" s="93"/>
      <c r="AC18" s="93"/>
      <c r="AD18" s="93"/>
    </row>
    <row r="19" spans="1:30" ht="12.75" customHeight="1" x14ac:dyDescent="0.2">
      <c r="A19" s="154"/>
      <c r="B19" s="122" t="s">
        <v>158</v>
      </c>
      <c r="C19" s="121" t="s">
        <v>136</v>
      </c>
      <c r="D19" s="39" t="s">
        <v>34</v>
      </c>
      <c r="E19" s="39" t="s">
        <v>19</v>
      </c>
      <c r="F19" s="39" t="s">
        <v>36</v>
      </c>
      <c r="G19" s="112">
        <f t="shared" si="1"/>
        <v>6.8999999999999995</v>
      </c>
      <c r="H19" s="35">
        <v>0.3</v>
      </c>
      <c r="I19" s="66">
        <f t="shared" si="0"/>
        <v>2</v>
      </c>
      <c r="J19" s="39">
        <v>200</v>
      </c>
      <c r="K19" s="172" t="s">
        <v>201</v>
      </c>
      <c r="L19" s="173"/>
      <c r="M19" s="174"/>
      <c r="N19" s="60"/>
      <c r="O19" s="60"/>
      <c r="P19" s="60"/>
      <c r="Q19" s="60"/>
      <c r="R19" s="60"/>
      <c r="S19" s="60"/>
      <c r="T19" s="60"/>
      <c r="U19" s="60"/>
      <c r="V19" s="60"/>
      <c r="W19" s="60"/>
      <c r="X19" s="60"/>
      <c r="Y19" s="60"/>
      <c r="Z19" s="60"/>
      <c r="AA19" s="60"/>
      <c r="AB19" s="60"/>
      <c r="AC19" s="60"/>
      <c r="AD19" s="60"/>
    </row>
    <row r="20" spans="1:30" ht="12.75" customHeight="1" x14ac:dyDescent="0.2">
      <c r="B20" s="45"/>
      <c r="C20" s="107"/>
      <c r="D20" s="46"/>
      <c r="E20" s="31"/>
      <c r="F20" s="31"/>
      <c r="G20" s="47"/>
      <c r="H20" s="48"/>
      <c r="I20" s="19"/>
      <c r="K20" s="175"/>
      <c r="L20" s="175"/>
      <c r="M20" s="175"/>
      <c r="N20" s="60"/>
      <c r="O20" s="60"/>
      <c r="P20" s="60"/>
      <c r="Q20" s="60"/>
      <c r="R20" s="60"/>
      <c r="S20" s="60"/>
      <c r="T20" s="60"/>
      <c r="U20" s="60"/>
      <c r="V20" s="60"/>
      <c r="W20" s="60"/>
      <c r="X20" s="60"/>
      <c r="Y20" s="60"/>
      <c r="Z20" s="60"/>
      <c r="AA20" s="60"/>
      <c r="AB20" s="60"/>
      <c r="AC20" s="60"/>
      <c r="AD20" s="60"/>
    </row>
    <row r="21" spans="1:30" ht="12.75" customHeight="1" x14ac:dyDescent="0.2">
      <c r="A21" s="152" t="s">
        <v>198</v>
      </c>
      <c r="B21" s="144" t="s">
        <v>40</v>
      </c>
      <c r="C21" s="148" t="s">
        <v>90</v>
      </c>
      <c r="D21" s="33" t="s">
        <v>39</v>
      </c>
      <c r="E21" s="39" t="s">
        <v>23</v>
      </c>
      <c r="F21" s="39" t="s">
        <v>35</v>
      </c>
      <c r="G21" s="112">
        <f>23*H21</f>
        <v>2.3000000000000003</v>
      </c>
      <c r="H21" s="113">
        <f>Uncertainties_estimation!J16</f>
        <v>0.1</v>
      </c>
      <c r="I21" s="66">
        <v>2</v>
      </c>
      <c r="J21" s="114">
        <v>200</v>
      </c>
      <c r="K21" s="172" t="s">
        <v>113</v>
      </c>
      <c r="L21" s="173"/>
      <c r="M21" s="174"/>
      <c r="N21" s="60"/>
      <c r="O21" s="60"/>
      <c r="P21" s="60"/>
      <c r="Q21" s="60"/>
      <c r="R21" s="60"/>
      <c r="S21" s="60"/>
      <c r="T21" s="60"/>
      <c r="U21" s="60"/>
      <c r="V21" s="60"/>
      <c r="W21" s="60"/>
      <c r="X21" s="60"/>
      <c r="Y21" s="60"/>
      <c r="Z21" s="60"/>
      <c r="AA21" s="60"/>
      <c r="AB21" s="60"/>
      <c r="AC21" s="60"/>
      <c r="AD21" s="60"/>
    </row>
    <row r="22" spans="1:30" ht="12.75" customHeight="1" x14ac:dyDescent="0.2">
      <c r="A22" s="152"/>
      <c r="B22" s="144" t="s">
        <v>193</v>
      </c>
      <c r="C22" s="148" t="s">
        <v>195</v>
      </c>
      <c r="D22" s="33" t="s">
        <v>34</v>
      </c>
      <c r="E22" s="39" t="s">
        <v>23</v>
      </c>
      <c r="F22" s="39" t="s">
        <v>36</v>
      </c>
      <c r="G22" s="112">
        <f>100000*Uncertainties_estimation!J11*Uncertainties_estimation!J9*IF(Uncertainties_estimation!J8&lt;1385,S8+2*T8*Uncertainties_estimation!J8+3*U8*Uncertainties_estimation!J8^2+4*V8*Uncertainties_estimation!J8^3+5*W8*Uncertainties_estimation!J8^4+6*X8*Uncertainties_estimation!J8^5,S9+2*T9*Uncertainties_estimation!J8+3*U9*Uncertainties_estimation!J8^2+4*V9*Uncertainties_estimation!J8^3+5*W9*Uncertainties_estimation!J8^4+6*X9*Uncertainties_estimation!J8^5)</f>
        <v>-2.9782172400003462</v>
      </c>
      <c r="H22" s="113">
        <f>0.0434*ABS(G22)</f>
        <v>0.12925462821601502</v>
      </c>
      <c r="I22" s="66">
        <f t="shared" ref="I22:I37" si="2">IF(F22="Rectangular (1)", SQRT(3),IF(F22="Rectangular (2)",2*SQRT(3),IF(F22="Normal (2)",2,IF(F22="Normal (3)",3,1))))</f>
        <v>2</v>
      </c>
      <c r="J22" s="115">
        <v>200</v>
      </c>
      <c r="K22" s="172" t="s">
        <v>55</v>
      </c>
      <c r="L22" s="173"/>
      <c r="M22" s="174"/>
      <c r="N22" s="60"/>
      <c r="O22" s="60"/>
      <c r="P22" s="60"/>
      <c r="Q22" s="60"/>
      <c r="R22" s="60"/>
      <c r="S22" s="60"/>
      <c r="T22" s="60"/>
      <c r="U22" s="60"/>
      <c r="V22" s="60"/>
      <c r="W22" s="60"/>
      <c r="X22" s="60"/>
      <c r="Y22" s="60"/>
      <c r="Z22" s="60"/>
      <c r="AA22" s="60"/>
      <c r="AB22" s="60"/>
      <c r="AC22" s="60"/>
      <c r="AD22" s="60"/>
    </row>
    <row r="23" spans="1:30" ht="12.75" customHeight="1" x14ac:dyDescent="0.2">
      <c r="A23" s="152"/>
      <c r="B23" s="144" t="s">
        <v>194</v>
      </c>
      <c r="C23" s="145" t="s">
        <v>196</v>
      </c>
      <c r="D23" s="33" t="s">
        <v>34</v>
      </c>
      <c r="E23" s="39" t="s">
        <v>23</v>
      </c>
      <c r="F23" s="39" t="s">
        <v>36</v>
      </c>
      <c r="G23" s="112">
        <f>23*H23</f>
        <v>5.2184427113687688</v>
      </c>
      <c r="H23" s="113">
        <f>2*0.25*SIN(6.28*Uncertainties_estimation!J9/(2*200))</f>
        <v>0.22688881353777257</v>
      </c>
      <c r="I23" s="66">
        <f t="shared" ref="I23" si="3">IF(F23="Rectangular (1)", SQRT(3),IF(F23="Rectangular (2)",2*SQRT(3),IF(F23="Normal (2)",2,IF(F23="Normal (3)",3,1))))</f>
        <v>2</v>
      </c>
      <c r="J23" s="115">
        <v>200</v>
      </c>
      <c r="K23" s="172" t="s">
        <v>197</v>
      </c>
      <c r="L23" s="173"/>
      <c r="M23" s="174"/>
      <c r="N23" s="60"/>
      <c r="O23" s="60"/>
      <c r="P23" s="60"/>
      <c r="Q23" s="60"/>
      <c r="R23" s="60"/>
      <c r="S23" s="60"/>
      <c r="T23" s="60"/>
      <c r="U23" s="60"/>
      <c r="V23" s="60"/>
      <c r="W23" s="60"/>
      <c r="X23" s="60"/>
      <c r="Y23" s="60"/>
      <c r="Z23" s="60"/>
      <c r="AA23" s="60"/>
      <c r="AB23" s="60"/>
      <c r="AC23" s="60"/>
      <c r="AD23" s="60"/>
    </row>
    <row r="24" spans="1:30" ht="12.75" customHeight="1" x14ac:dyDescent="0.2">
      <c r="A24" s="152"/>
      <c r="B24" s="144" t="s">
        <v>41</v>
      </c>
      <c r="C24" s="148" t="s">
        <v>91</v>
      </c>
      <c r="D24" s="33" t="s">
        <v>34</v>
      </c>
      <c r="E24" s="39" t="s">
        <v>23</v>
      </c>
      <c r="F24" s="39" t="s">
        <v>35</v>
      </c>
      <c r="G24" s="112">
        <f>IF(Uncertainties_estimation!J8&lt;1075,MAX(0.08, 0.1*(Uncertainties_estimation!J10-2.35*Uncertainties_estimation!J11)),MAX(0.12,0.2*(Uncertainties_estimation!J10-0.56*Uncertainties_estimation!J11)))*23</f>
        <v>77.096000000000004</v>
      </c>
      <c r="H24" s="113">
        <f>0.0434*ABS(G24)</f>
        <v>3.3459664000000005</v>
      </c>
      <c r="I24" s="66">
        <f t="shared" si="2"/>
        <v>1.7320508075688772</v>
      </c>
      <c r="J24" s="116">
        <f>IF(Uncertainties_estimation!J8&lt;1075,3.7,4.5)</f>
        <v>4.5</v>
      </c>
      <c r="K24" s="172" t="s">
        <v>56</v>
      </c>
      <c r="L24" s="173"/>
      <c r="M24" s="174"/>
      <c r="N24" s="60"/>
      <c r="O24" s="60"/>
      <c r="P24" s="60"/>
      <c r="Q24" s="60"/>
      <c r="R24" s="60"/>
      <c r="S24" s="60"/>
      <c r="T24" s="60"/>
      <c r="U24" s="60"/>
      <c r="V24" s="60"/>
      <c r="W24" s="60"/>
      <c r="X24" s="60"/>
      <c r="Y24" s="60"/>
      <c r="Z24" s="60"/>
      <c r="AA24" s="60"/>
      <c r="AB24" s="60"/>
      <c r="AC24" s="60"/>
      <c r="AD24" s="60"/>
    </row>
    <row r="25" spans="1:30" ht="12.75" customHeight="1" x14ac:dyDescent="0.2">
      <c r="A25" s="152"/>
      <c r="B25" s="144" t="s">
        <v>42</v>
      </c>
      <c r="C25" s="148" t="s">
        <v>92</v>
      </c>
      <c r="D25" s="33" t="s">
        <v>34</v>
      </c>
      <c r="E25" s="39" t="s">
        <v>23</v>
      </c>
      <c r="F25" s="39" t="s">
        <v>35</v>
      </c>
      <c r="G25" s="117">
        <f>IF(Uncertainties_estimation!J15=1,0.005*23,IF(Uncertainties_estimation!J15=2,0,""))</f>
        <v>0.115</v>
      </c>
      <c r="H25" s="113">
        <f t="shared" ref="H25" si="4">0.0434*ABS(G25)</f>
        <v>4.9910000000000006E-3</v>
      </c>
      <c r="I25" s="66">
        <f t="shared" si="2"/>
        <v>1.7320508075688772</v>
      </c>
      <c r="J25" s="114">
        <v>200</v>
      </c>
      <c r="K25" s="172" t="s">
        <v>37</v>
      </c>
      <c r="L25" s="173"/>
      <c r="M25" s="174"/>
      <c r="N25" s="60"/>
      <c r="O25" s="60"/>
      <c r="P25" s="60"/>
      <c r="Q25" s="60"/>
      <c r="R25" s="60"/>
      <c r="S25" s="60"/>
      <c r="T25" s="60"/>
      <c r="U25" s="60"/>
      <c r="V25" s="60"/>
      <c r="W25" s="60"/>
      <c r="X25" s="60"/>
      <c r="Y25" s="60"/>
      <c r="Z25" s="60"/>
      <c r="AA25" s="60"/>
      <c r="AB25" s="60"/>
      <c r="AC25" s="60"/>
      <c r="AD25" s="60"/>
    </row>
    <row r="26" spans="1:30" ht="12.75" customHeight="1" x14ac:dyDescent="0.2">
      <c r="A26" s="152"/>
      <c r="B26" s="144" t="s">
        <v>43</v>
      </c>
      <c r="C26" s="148" t="s">
        <v>93</v>
      </c>
      <c r="D26" s="33" t="s">
        <v>34</v>
      </c>
      <c r="E26" s="39" t="s">
        <v>23</v>
      </c>
      <c r="F26" s="39" t="s">
        <v>35</v>
      </c>
      <c r="G26" s="84">
        <f>23*H26</f>
        <v>0.115</v>
      </c>
      <c r="H26" s="43">
        <v>5.0000000000000001E-3</v>
      </c>
      <c r="I26" s="35">
        <f t="shared" si="2"/>
        <v>1.7320508075688772</v>
      </c>
      <c r="J26" s="71">
        <v>9.9999999999999997E+98</v>
      </c>
      <c r="K26" s="181" t="s">
        <v>80</v>
      </c>
      <c r="L26" s="182"/>
      <c r="M26" s="183"/>
      <c r="N26" s="60"/>
      <c r="O26" s="60"/>
      <c r="P26" s="60"/>
      <c r="Q26" s="60"/>
      <c r="R26" s="60"/>
      <c r="S26" s="60"/>
      <c r="T26" s="60"/>
      <c r="U26" s="60"/>
      <c r="V26" s="60"/>
      <c r="W26" s="60"/>
      <c r="X26" s="60"/>
      <c r="Y26" s="60"/>
      <c r="Z26" s="60"/>
      <c r="AA26" s="60"/>
      <c r="AB26" s="60"/>
      <c r="AC26" s="60"/>
      <c r="AD26" s="60"/>
    </row>
    <row r="27" spans="1:30" ht="12.75" customHeight="1" x14ac:dyDescent="0.2">
      <c r="A27" s="152"/>
      <c r="B27" s="144" t="s">
        <v>44</v>
      </c>
      <c r="C27" s="148" t="s">
        <v>94</v>
      </c>
      <c r="D27" s="33" t="s">
        <v>34</v>
      </c>
      <c r="E27" s="39" t="s">
        <v>23</v>
      </c>
      <c r="F27" s="39" t="s">
        <v>35</v>
      </c>
      <c r="G27" s="84">
        <v>0</v>
      </c>
      <c r="H27" s="43">
        <f>0.0434*ABS(G27)</f>
        <v>0</v>
      </c>
      <c r="I27" s="35">
        <f t="shared" si="2"/>
        <v>1.7320508075688772</v>
      </c>
      <c r="J27" s="70">
        <v>200</v>
      </c>
      <c r="K27" s="181" t="s">
        <v>38</v>
      </c>
      <c r="L27" s="182"/>
      <c r="M27" s="183"/>
      <c r="N27" s="60"/>
      <c r="O27" s="60"/>
      <c r="P27" s="60"/>
      <c r="Q27" s="60"/>
      <c r="R27" s="60"/>
      <c r="S27" s="60"/>
      <c r="T27" s="60"/>
      <c r="U27" s="60"/>
      <c r="V27" s="60"/>
      <c r="W27" s="60"/>
      <c r="X27" s="60"/>
      <c r="Y27" s="60"/>
      <c r="Z27" s="60"/>
      <c r="AA27" s="60"/>
      <c r="AB27" s="60"/>
      <c r="AC27" s="60"/>
      <c r="AD27" s="60"/>
    </row>
    <row r="28" spans="1:30" ht="12.75" customHeight="1" x14ac:dyDescent="0.2">
      <c r="A28" s="152"/>
      <c r="B28" s="144" t="s">
        <v>45</v>
      </c>
      <c r="C28" s="148" t="s">
        <v>95</v>
      </c>
      <c r="D28" s="33" t="s">
        <v>34</v>
      </c>
      <c r="E28" s="39" t="s">
        <v>23</v>
      </c>
      <c r="F28" s="39" t="s">
        <v>35</v>
      </c>
      <c r="G28" s="84">
        <f>IF(OR(Uncertainties_estimation!J6="R1-APC",Uncertainties_estimation!J6="R2-APC",Uncertainties_estimation!J6="APC"),0.01*23,IF(OR(Uncertainties_estimation!J6="R1-PC",Uncertainties_estimation!J6="R2-PC",Uncertainties_estimation!J6="PC"),0.005*23,""))</f>
        <v>0.23</v>
      </c>
      <c r="H28" s="43">
        <f>0.0434*ABS(G28)</f>
        <v>9.9820000000000013E-3</v>
      </c>
      <c r="I28" s="35">
        <f t="shared" si="2"/>
        <v>1.7320508075688772</v>
      </c>
      <c r="J28" s="70">
        <v>200</v>
      </c>
      <c r="K28" s="181" t="s">
        <v>71</v>
      </c>
      <c r="L28" s="182"/>
      <c r="M28" s="183"/>
      <c r="N28" s="60"/>
      <c r="O28" s="60"/>
      <c r="P28" s="60"/>
      <c r="Q28" s="60"/>
      <c r="R28" s="60"/>
      <c r="S28" s="60"/>
      <c r="T28" s="60"/>
      <c r="U28" s="60"/>
      <c r="V28" s="60"/>
      <c r="W28" s="60"/>
      <c r="X28" s="60"/>
      <c r="Y28" s="60"/>
      <c r="Z28" s="60"/>
      <c r="AA28" s="60"/>
      <c r="AB28" s="60"/>
      <c r="AC28" s="60"/>
      <c r="AD28" s="60"/>
    </row>
    <row r="29" spans="1:30" ht="12.75" customHeight="1" x14ac:dyDescent="0.2">
      <c r="A29" s="152"/>
      <c r="B29" s="144" t="s">
        <v>46</v>
      </c>
      <c r="C29" s="148" t="s">
        <v>96</v>
      </c>
      <c r="D29" s="33" t="s">
        <v>34</v>
      </c>
      <c r="E29" s="39" t="s">
        <v>23</v>
      </c>
      <c r="F29" s="39" t="s">
        <v>35</v>
      </c>
      <c r="G29" s="84">
        <f>0.00000001/((Uncertainties_estimation!J17-Uncertainties_estimation!J10)*0.23)</f>
        <v>-1.6722408026755852E-9</v>
      </c>
      <c r="H29" s="43">
        <f t="shared" ref="H29:H31" si="5">0.0434*ABS(G29)</f>
        <v>7.25752508361204E-11</v>
      </c>
      <c r="I29" s="35">
        <f t="shared" si="2"/>
        <v>1.7320508075688772</v>
      </c>
      <c r="J29" s="70">
        <v>20000</v>
      </c>
      <c r="K29" s="181" t="s">
        <v>72</v>
      </c>
      <c r="L29" s="182"/>
      <c r="M29" s="183"/>
      <c r="N29" s="60"/>
      <c r="O29" s="60"/>
      <c r="P29" s="60"/>
      <c r="Q29" s="60"/>
      <c r="R29" s="60"/>
      <c r="S29" s="60"/>
      <c r="T29" s="60"/>
      <c r="U29" s="60"/>
      <c r="V29" s="60"/>
      <c r="W29" s="60"/>
      <c r="X29" s="60"/>
      <c r="Y29" s="60"/>
      <c r="Z29" s="60"/>
      <c r="AA29" s="60"/>
      <c r="AB29" s="60"/>
      <c r="AC29" s="60"/>
      <c r="AD29" s="60"/>
    </row>
    <row r="30" spans="1:30" ht="12.75" customHeight="1" x14ac:dyDescent="0.2">
      <c r="A30" s="152"/>
      <c r="B30" s="144" t="s">
        <v>47</v>
      </c>
      <c r="C30" s="148" t="s">
        <v>97</v>
      </c>
      <c r="D30" s="40" t="s">
        <v>34</v>
      </c>
      <c r="E30" s="41" t="s">
        <v>23</v>
      </c>
      <c r="F30" s="41" t="s">
        <v>36</v>
      </c>
      <c r="G30" s="85">
        <v>0.1</v>
      </c>
      <c r="H30" s="43">
        <f t="shared" si="5"/>
        <v>4.3400000000000001E-3</v>
      </c>
      <c r="I30" s="42">
        <f t="shared" si="2"/>
        <v>2</v>
      </c>
      <c r="J30" s="70">
        <v>200</v>
      </c>
      <c r="K30" s="184">
        <v>1E-3</v>
      </c>
      <c r="L30" s="185"/>
      <c r="M30" s="186"/>
      <c r="N30" s="60"/>
      <c r="O30" s="60"/>
      <c r="P30" s="60"/>
      <c r="Q30" s="60"/>
      <c r="R30" s="60"/>
      <c r="S30" s="60"/>
      <c r="T30" s="60"/>
      <c r="U30" s="60"/>
      <c r="V30" s="60"/>
      <c r="W30" s="60"/>
      <c r="X30" s="60"/>
      <c r="Y30" s="60"/>
      <c r="Z30" s="60"/>
      <c r="AA30" s="60"/>
      <c r="AB30" s="60"/>
      <c r="AC30" s="60"/>
      <c r="AD30" s="60"/>
    </row>
    <row r="31" spans="1:30" ht="12.75" customHeight="1" x14ac:dyDescent="0.2">
      <c r="A31" s="152"/>
      <c r="B31" s="144" t="s">
        <v>48</v>
      </c>
      <c r="C31" s="149" t="s">
        <v>98</v>
      </c>
      <c r="D31" s="40" t="s">
        <v>34</v>
      </c>
      <c r="E31" s="41" t="s">
        <v>23</v>
      </c>
      <c r="F31" s="41" t="s">
        <v>36</v>
      </c>
      <c r="G31" s="85">
        <f>IF(Uncertainties_estimation!J15=2,0.2*23,IF(Uncertainties_estimation!J15=1,0,""))</f>
        <v>0</v>
      </c>
      <c r="H31" s="43">
        <f t="shared" si="5"/>
        <v>0</v>
      </c>
      <c r="I31" s="42">
        <v>2</v>
      </c>
      <c r="J31" s="70">
        <v>200</v>
      </c>
      <c r="K31" s="181" t="s">
        <v>76</v>
      </c>
      <c r="L31" s="182"/>
      <c r="M31" s="183"/>
      <c r="N31" s="60"/>
      <c r="O31" s="60"/>
      <c r="P31" s="60"/>
      <c r="Q31" s="60"/>
      <c r="R31" s="60"/>
      <c r="S31" s="60"/>
      <c r="T31" s="60"/>
      <c r="U31" s="60"/>
      <c r="V31" s="60"/>
      <c r="W31" s="60"/>
      <c r="X31" s="60"/>
      <c r="Y31" s="60"/>
      <c r="Z31" s="60"/>
      <c r="AA31" s="60"/>
      <c r="AB31" s="60"/>
      <c r="AC31" s="60"/>
      <c r="AD31" s="60"/>
    </row>
    <row r="32" spans="1:30" ht="12.75" customHeight="1" x14ac:dyDescent="0.2">
      <c r="A32" s="152"/>
      <c r="B32" s="144" t="s">
        <v>49</v>
      </c>
      <c r="C32" s="149" t="s">
        <v>99</v>
      </c>
      <c r="D32" s="40" t="s">
        <v>34</v>
      </c>
      <c r="E32" s="41" t="s">
        <v>23</v>
      </c>
      <c r="F32" s="41" t="s">
        <v>35</v>
      </c>
      <c r="G32" s="84">
        <f t="shared" ref="G32:G33" si="6">23*H32</f>
        <v>4.6000000000000005</v>
      </c>
      <c r="H32" s="43">
        <f>IF(OR(Uncertainties_estimation!J6="R1-PC",Uncertainties_estimation!J6="R1-APC"),0.1,IF(OR(Uncertainties_estimation!J6="R2-PC",Uncertainties_estimation!J6="R2-APC"),0.2,0.75))</f>
        <v>0.2</v>
      </c>
      <c r="I32" s="42">
        <f t="shared" si="2"/>
        <v>1.7320508075688772</v>
      </c>
      <c r="J32" s="70">
        <v>5000</v>
      </c>
      <c r="K32" s="181" t="s">
        <v>190</v>
      </c>
      <c r="L32" s="182"/>
      <c r="M32" s="183"/>
      <c r="N32" s="60"/>
      <c r="O32" s="60"/>
      <c r="P32" s="60"/>
      <c r="Q32" s="60"/>
      <c r="R32" s="60"/>
      <c r="S32" s="60"/>
      <c r="T32" s="60"/>
      <c r="U32" s="60"/>
      <c r="V32" s="60"/>
      <c r="W32" s="60"/>
      <c r="X32" s="60"/>
      <c r="Y32" s="60"/>
      <c r="Z32" s="60"/>
      <c r="AA32" s="60"/>
      <c r="AB32" s="60"/>
      <c r="AC32" s="60"/>
      <c r="AD32" s="60"/>
    </row>
    <row r="33" spans="1:30" ht="12.75" customHeight="1" x14ac:dyDescent="0.2">
      <c r="A33" s="152"/>
      <c r="B33" s="144" t="s">
        <v>50</v>
      </c>
      <c r="C33" s="146" t="s">
        <v>114</v>
      </c>
      <c r="D33" s="33" t="s">
        <v>34</v>
      </c>
      <c r="E33" s="39" t="s">
        <v>23</v>
      </c>
      <c r="F33" s="39" t="s">
        <v>35</v>
      </c>
      <c r="G33" s="84">
        <f t="shared" si="6"/>
        <v>1.1500000000000001</v>
      </c>
      <c r="H33" s="43">
        <f>IF(OR(Uncertainties_estimation!J6="R1-PC",Uncertainties_estimation!J6="R1-APC"),0.05,IF(OR(Uncertainties_estimation!J6="R2-PC",Uncertainties_estimation!J6="R2-APC"),0.05,0.1))</f>
        <v>0.05</v>
      </c>
      <c r="I33" s="35">
        <f t="shared" si="2"/>
        <v>1.7320508075688772</v>
      </c>
      <c r="J33" s="70">
        <v>5000</v>
      </c>
      <c r="K33" s="181"/>
      <c r="L33" s="182"/>
      <c r="M33" s="183"/>
      <c r="N33" s="60"/>
      <c r="O33" s="60"/>
      <c r="P33" s="60"/>
      <c r="Q33" s="60"/>
      <c r="R33" s="60"/>
      <c r="S33" s="60"/>
      <c r="T33" s="60"/>
      <c r="U33" s="60"/>
      <c r="V33" s="60"/>
      <c r="W33" s="60"/>
      <c r="X33" s="60"/>
      <c r="Y33" s="60"/>
      <c r="Z33" s="60"/>
      <c r="AA33" s="60"/>
      <c r="AB33" s="60"/>
      <c r="AC33" s="60"/>
      <c r="AD33" s="60"/>
    </row>
    <row r="34" spans="1:30" ht="12.75" customHeight="1" x14ac:dyDescent="0.2">
      <c r="A34" s="152"/>
      <c r="B34" s="144" t="s">
        <v>51</v>
      </c>
      <c r="C34" s="145" t="s">
        <v>115</v>
      </c>
      <c r="D34" s="40" t="s">
        <v>34</v>
      </c>
      <c r="E34" s="40" t="s">
        <v>23</v>
      </c>
      <c r="F34" s="40" t="s">
        <v>35</v>
      </c>
      <c r="G34" s="84">
        <f>IF(OR(Uncertainties_estimation!J6="R1-APC",Uncertainties_estimation!J6="R2-APC",Uncertainties_estimation!J6="APC"),0.018*23,IF(OR(Uncertainties_estimation!J6="R1-PC",Uncertainties_estimation!J6="R2-PC",Uncertainties_estimation!J6="PC"),0,""))</f>
        <v>0.41399999999999998</v>
      </c>
      <c r="H34" s="43">
        <f>0.0434*ABS(G34)</f>
        <v>1.79676E-2</v>
      </c>
      <c r="I34" s="44">
        <f t="shared" si="2"/>
        <v>1.7320508075688772</v>
      </c>
      <c r="J34" s="70">
        <v>200</v>
      </c>
      <c r="K34" s="181" t="s">
        <v>82</v>
      </c>
      <c r="L34" s="182"/>
      <c r="M34" s="183"/>
      <c r="N34" s="60"/>
      <c r="O34" s="60"/>
      <c r="P34" s="60"/>
      <c r="Q34" s="60"/>
      <c r="R34" s="60"/>
      <c r="S34" s="60"/>
      <c r="T34" s="60"/>
      <c r="U34" s="60"/>
      <c r="V34" s="60"/>
      <c r="W34" s="60"/>
      <c r="X34" s="60"/>
      <c r="Y34" s="60"/>
      <c r="Z34" s="60"/>
      <c r="AA34" s="60"/>
      <c r="AB34" s="60"/>
      <c r="AC34" s="60"/>
      <c r="AD34" s="60"/>
    </row>
    <row r="35" spans="1:30" ht="12.75" customHeight="1" x14ac:dyDescent="0.2">
      <c r="A35" s="152"/>
      <c r="B35" s="147" t="s">
        <v>52</v>
      </c>
      <c r="C35" s="146" t="s">
        <v>99</v>
      </c>
      <c r="D35" s="40" t="s">
        <v>34</v>
      </c>
      <c r="E35" s="41" t="s">
        <v>23</v>
      </c>
      <c r="F35" s="41" t="s">
        <v>35</v>
      </c>
      <c r="G35" s="84">
        <f t="shared" ref="G35" si="7">23*H35</f>
        <v>4.6000000000000005</v>
      </c>
      <c r="H35" s="43">
        <f>IF(OR(Uncertainties_estimation!J6="R1-PC",Uncertainties_estimation!J6="R1-APC"),0.1,IF(OR(Uncertainties_estimation!J6="R2-PC",Uncertainties_estimation!J6="R2-APC"),0.2,0.75))</f>
        <v>0.2</v>
      </c>
      <c r="I35" s="42">
        <f t="shared" ref="I35" si="8">IF(F35="Rectangular (1)", SQRT(3),IF(F35="Rectangular (2)",2*SQRT(3),IF(F35="Normal (2)",2,IF(F35="Normal (3)",3,1))))</f>
        <v>1.7320508075688772</v>
      </c>
      <c r="J35" s="70">
        <v>5000</v>
      </c>
      <c r="K35" s="181" t="s">
        <v>189</v>
      </c>
      <c r="L35" s="182"/>
      <c r="M35" s="183"/>
      <c r="N35" s="60"/>
      <c r="O35" s="60"/>
      <c r="P35" s="60"/>
      <c r="Q35" s="60"/>
      <c r="R35" s="60"/>
      <c r="S35" s="60"/>
      <c r="T35" s="60"/>
      <c r="U35" s="60"/>
      <c r="V35" s="60"/>
      <c r="W35" s="60"/>
      <c r="X35" s="60"/>
      <c r="Y35" s="60"/>
      <c r="Z35" s="60"/>
      <c r="AA35" s="60"/>
      <c r="AB35" s="60"/>
      <c r="AC35" s="60"/>
      <c r="AD35" s="60"/>
    </row>
    <row r="36" spans="1:30" ht="12.75" customHeight="1" x14ac:dyDescent="0.2">
      <c r="A36" s="152"/>
      <c r="B36" s="147" t="s">
        <v>53</v>
      </c>
      <c r="C36" s="145" t="s">
        <v>116</v>
      </c>
      <c r="D36" s="40" t="s">
        <v>34</v>
      </c>
      <c r="E36" s="40" t="s">
        <v>23</v>
      </c>
      <c r="F36" s="40" t="s">
        <v>35</v>
      </c>
      <c r="G36" s="84">
        <f>23*H36</f>
        <v>1.1500000000000001</v>
      </c>
      <c r="H36" s="43">
        <f>IF(OR(Uncertainties_estimation!J6="R1-PC",Uncertainties_estimation!J6="R1-APC"),0.05,IF(OR(Uncertainties_estimation!J6="R2-PC",Uncertainties_estimation!J6="R2-APC"),0.05,0.1))</f>
        <v>0.05</v>
      </c>
      <c r="I36" s="44">
        <f t="shared" si="2"/>
        <v>1.7320508075688772</v>
      </c>
      <c r="J36" s="70">
        <v>5000</v>
      </c>
      <c r="K36" s="181"/>
      <c r="L36" s="182"/>
      <c r="M36" s="183"/>
      <c r="N36" s="60"/>
      <c r="O36" s="60"/>
      <c r="P36" s="60"/>
      <c r="Q36" s="60"/>
      <c r="R36" s="60"/>
      <c r="S36" s="60"/>
      <c r="T36" s="60"/>
      <c r="U36" s="60"/>
      <c r="V36" s="60"/>
      <c r="W36" s="60"/>
      <c r="X36" s="60"/>
      <c r="Y36" s="60"/>
      <c r="Z36" s="60"/>
      <c r="AA36" s="60"/>
      <c r="AB36" s="60"/>
      <c r="AC36" s="60"/>
      <c r="AD36" s="60"/>
    </row>
    <row r="37" spans="1:30" ht="12.75" customHeight="1" x14ac:dyDescent="0.2">
      <c r="A37" s="152"/>
      <c r="B37" s="147" t="s">
        <v>79</v>
      </c>
      <c r="C37" s="145" t="s">
        <v>100</v>
      </c>
      <c r="D37" s="33" t="s">
        <v>34</v>
      </c>
      <c r="E37" s="33" t="s">
        <v>23</v>
      </c>
      <c r="F37" s="33" t="s">
        <v>35</v>
      </c>
      <c r="G37" s="84">
        <f>IF(OR(Uncertainties_estimation!J6="R1-APC",Uncertainties_estimation!J6="R2-APC",Uncertainties_estimation!J6="APC"),0.018*23,IF(OR(Uncertainties_estimation!J6="R1-PC",Uncertainties_estimation!J6="R2-PC",Uncertainties_estimation!J6="PC"),0,""))</f>
        <v>0.41399999999999998</v>
      </c>
      <c r="H37" s="43">
        <f>0.0434*ABS(G37)</f>
        <v>1.79676E-2</v>
      </c>
      <c r="I37" s="43">
        <f t="shared" si="2"/>
        <v>1.7320508075688772</v>
      </c>
      <c r="J37" s="70">
        <v>200</v>
      </c>
      <c r="K37" s="181" t="s">
        <v>82</v>
      </c>
      <c r="L37" s="182"/>
      <c r="M37" s="183"/>
      <c r="N37" s="60"/>
      <c r="O37" s="60"/>
      <c r="P37" s="60"/>
      <c r="Q37" s="60"/>
      <c r="R37" s="60"/>
      <c r="S37" s="60"/>
      <c r="T37" s="60"/>
      <c r="U37" s="60"/>
      <c r="V37" s="60"/>
      <c r="W37" s="60"/>
      <c r="X37" s="60"/>
      <c r="Y37" s="60"/>
      <c r="Z37" s="60"/>
      <c r="AA37" s="60"/>
      <c r="AB37" s="60"/>
      <c r="AC37" s="60"/>
      <c r="AD37" s="60"/>
    </row>
    <row r="38" spans="1:30" ht="12.75" customHeight="1" x14ac:dyDescent="0.2">
      <c r="B38" s="45"/>
      <c r="C38" s="107"/>
      <c r="D38" s="46"/>
      <c r="E38" s="31"/>
      <c r="F38" s="31"/>
      <c r="G38" s="47"/>
      <c r="H38" s="48"/>
      <c r="I38" s="19"/>
      <c r="N38" s="60"/>
      <c r="O38" s="60"/>
      <c r="P38" s="60"/>
      <c r="Q38" s="60"/>
      <c r="R38" s="60"/>
      <c r="S38" s="60"/>
      <c r="T38" s="60"/>
      <c r="U38" s="60"/>
      <c r="V38" s="60"/>
      <c r="W38" s="60"/>
      <c r="X38" s="60"/>
      <c r="Y38" s="60"/>
      <c r="Z38" s="60"/>
      <c r="AA38" s="60"/>
      <c r="AB38" s="60"/>
      <c r="AC38" s="60"/>
      <c r="AD38" s="60"/>
    </row>
    <row r="39" spans="1:30" ht="12.75" customHeight="1" x14ac:dyDescent="0.2">
      <c r="B39" s="45"/>
      <c r="C39" s="107"/>
      <c r="D39" s="46"/>
      <c r="E39" s="31"/>
      <c r="F39" s="31"/>
      <c r="G39" s="47"/>
      <c r="H39" s="48"/>
      <c r="I39" s="19"/>
      <c r="N39" s="60"/>
      <c r="O39" s="60"/>
      <c r="P39" s="60"/>
      <c r="Q39" s="60"/>
      <c r="R39" s="60"/>
      <c r="S39" s="60"/>
      <c r="T39" s="60"/>
      <c r="U39" s="60"/>
      <c r="V39" s="60"/>
      <c r="W39" s="60"/>
      <c r="X39" s="60"/>
      <c r="Y39" s="60"/>
      <c r="Z39" s="60"/>
      <c r="AA39" s="60"/>
      <c r="AB39" s="60"/>
      <c r="AC39" s="60"/>
      <c r="AD39" s="60"/>
    </row>
    <row r="40" spans="1:30" ht="12.75" customHeight="1" thickBot="1" x14ac:dyDescent="0.25">
      <c r="C40" s="108"/>
      <c r="N40" s="60"/>
      <c r="O40" s="60"/>
      <c r="P40" s="60"/>
      <c r="Q40" s="60"/>
      <c r="R40" s="60"/>
      <c r="S40" s="60"/>
      <c r="T40" s="60"/>
      <c r="U40" s="60"/>
      <c r="V40" s="60"/>
      <c r="W40" s="60"/>
      <c r="X40" s="60"/>
      <c r="Y40" s="60"/>
      <c r="Z40" s="60"/>
      <c r="AA40" s="60"/>
      <c r="AB40" s="60"/>
      <c r="AC40" s="60"/>
      <c r="AD40" s="60"/>
    </row>
    <row r="41" spans="1:30" ht="12.75" customHeight="1" x14ac:dyDescent="0.2">
      <c r="B41" s="49"/>
      <c r="C41" s="109"/>
      <c r="D41" s="118" t="s">
        <v>141</v>
      </c>
      <c r="E41" s="179" t="s">
        <v>140</v>
      </c>
      <c r="F41" s="180"/>
      <c r="N41" s="60"/>
      <c r="O41" s="60"/>
      <c r="P41" s="60"/>
      <c r="Q41" s="60"/>
      <c r="R41" s="60"/>
      <c r="S41" s="60"/>
      <c r="T41" s="60"/>
      <c r="U41" s="60"/>
      <c r="V41" s="60"/>
      <c r="W41" s="60"/>
      <c r="X41" s="60"/>
      <c r="Y41" s="60"/>
      <c r="Z41" s="60"/>
      <c r="AA41" s="60"/>
      <c r="AB41" s="60"/>
      <c r="AC41" s="60"/>
      <c r="AD41" s="60"/>
    </row>
    <row r="42" spans="1:30" ht="41.25" customHeight="1" thickBot="1" x14ac:dyDescent="0.25">
      <c r="B42" s="50"/>
      <c r="C42" s="110"/>
      <c r="D42" s="69" t="s">
        <v>138</v>
      </c>
      <c r="E42" s="51" t="s">
        <v>139</v>
      </c>
      <c r="F42" s="132" t="s">
        <v>142</v>
      </c>
      <c r="M42" s="65"/>
      <c r="N42" s="60"/>
      <c r="O42" s="60"/>
      <c r="P42" s="60"/>
      <c r="Q42" s="60"/>
      <c r="R42" s="60"/>
      <c r="S42" s="60"/>
      <c r="T42" s="60"/>
      <c r="U42" s="60"/>
      <c r="V42" s="60"/>
      <c r="W42" s="60"/>
      <c r="X42" s="60"/>
      <c r="Y42" s="60"/>
      <c r="Z42" s="60"/>
      <c r="AA42" s="60"/>
      <c r="AB42" s="60"/>
      <c r="AC42" s="60"/>
      <c r="AD42" s="60"/>
    </row>
    <row r="43" spans="1:30" ht="12.75" customHeight="1" thickBot="1" x14ac:dyDescent="0.25">
      <c r="B43" s="38" t="s">
        <v>32</v>
      </c>
      <c r="C43" s="111" t="s">
        <v>26</v>
      </c>
      <c r="D43" s="176" t="s">
        <v>204</v>
      </c>
      <c r="E43" s="177"/>
      <c r="F43" s="178"/>
      <c r="N43" s="60"/>
      <c r="O43" s="60"/>
      <c r="P43" s="60"/>
      <c r="Q43" s="60"/>
      <c r="R43" s="60"/>
      <c r="S43" s="60"/>
      <c r="T43" s="60"/>
      <c r="U43" s="60"/>
      <c r="V43" s="60"/>
      <c r="W43" s="60"/>
      <c r="X43" s="60"/>
      <c r="Y43" s="60"/>
      <c r="Z43" s="60"/>
      <c r="AA43" s="60"/>
      <c r="AB43" s="60"/>
      <c r="AC43" s="60"/>
      <c r="AD43" s="60"/>
    </row>
    <row r="44" spans="1:30" ht="12.75" customHeight="1" x14ac:dyDescent="0.2">
      <c r="A44" s="154" t="s">
        <v>186</v>
      </c>
      <c r="B44" s="122" t="s">
        <v>144</v>
      </c>
      <c r="C44" s="121" t="s">
        <v>125</v>
      </c>
      <c r="D44" s="55">
        <v>0</v>
      </c>
      <c r="E44" s="35">
        <v>1</v>
      </c>
      <c r="F44" s="56">
        <v>1</v>
      </c>
      <c r="N44" s="60"/>
      <c r="O44" s="60"/>
      <c r="P44" s="60"/>
      <c r="Q44" s="60"/>
      <c r="R44" s="60"/>
      <c r="S44" s="60"/>
      <c r="T44" s="60"/>
      <c r="U44" s="60"/>
      <c r="V44" s="60"/>
      <c r="W44" s="60"/>
      <c r="X44" s="60"/>
      <c r="Y44" s="60"/>
      <c r="Z44" s="60"/>
      <c r="AA44" s="60"/>
      <c r="AB44" s="60"/>
      <c r="AC44" s="60"/>
      <c r="AD44" s="60"/>
    </row>
    <row r="45" spans="1:30" ht="12.75" customHeight="1" x14ac:dyDescent="0.2">
      <c r="A45" s="154"/>
      <c r="B45" s="122" t="s">
        <v>145</v>
      </c>
      <c r="C45" s="121" t="s">
        <v>126</v>
      </c>
      <c r="D45" s="35">
        <v>0</v>
      </c>
      <c r="E45" s="35">
        <f>IF(Uncertainties_estimation!$J7=1,1,1.414)</f>
        <v>1</v>
      </c>
      <c r="F45" s="35">
        <f>IF(Uncertainties_estimation!$J7=1,1,1.414)</f>
        <v>1</v>
      </c>
      <c r="N45" s="60"/>
      <c r="O45" s="60"/>
      <c r="P45" s="60"/>
      <c r="Q45" s="60"/>
      <c r="R45" s="60"/>
      <c r="S45" s="60"/>
      <c r="T45" s="60"/>
      <c r="U45" s="60"/>
      <c r="V45" s="60"/>
      <c r="W45" s="60"/>
      <c r="X45" s="60"/>
      <c r="Y45" s="60"/>
      <c r="Z45" s="60"/>
      <c r="AA45" s="60"/>
      <c r="AB45" s="60"/>
      <c r="AC45" s="60"/>
      <c r="AD45" s="60"/>
    </row>
    <row r="46" spans="1:30" ht="12.75" customHeight="1" x14ac:dyDescent="0.2">
      <c r="A46" s="154"/>
      <c r="B46" s="122" t="s">
        <v>146</v>
      </c>
      <c r="C46" s="121" t="s">
        <v>127</v>
      </c>
      <c r="D46" s="55">
        <v>0</v>
      </c>
      <c r="E46" s="35">
        <v>1</v>
      </c>
      <c r="F46" s="56">
        <v>1</v>
      </c>
      <c r="N46" s="60"/>
      <c r="O46" s="60"/>
      <c r="P46" s="60"/>
      <c r="Q46" s="60"/>
      <c r="R46" s="60"/>
      <c r="S46" s="60"/>
      <c r="T46" s="60"/>
      <c r="U46" s="60"/>
      <c r="V46" s="60"/>
      <c r="W46" s="60"/>
      <c r="X46" s="60"/>
      <c r="Y46" s="60"/>
      <c r="Z46" s="60"/>
      <c r="AA46" s="60"/>
      <c r="AB46" s="60"/>
      <c r="AC46" s="60"/>
      <c r="AD46" s="60"/>
    </row>
    <row r="47" spans="1:30" ht="12.75" customHeight="1" x14ac:dyDescent="0.2">
      <c r="A47" s="154"/>
      <c r="B47" s="122" t="s">
        <v>147</v>
      </c>
      <c r="C47" s="121" t="s">
        <v>128</v>
      </c>
      <c r="D47" s="55">
        <v>0</v>
      </c>
      <c r="E47" s="35">
        <v>1.4139999999999999</v>
      </c>
      <c r="F47" s="56">
        <v>1.4139999999999999</v>
      </c>
      <c r="N47" s="60"/>
      <c r="O47" s="60"/>
      <c r="P47" s="60"/>
      <c r="Q47" s="60"/>
      <c r="R47" s="60"/>
      <c r="S47" s="60"/>
      <c r="T47" s="60"/>
      <c r="U47" s="60"/>
      <c r="V47" s="60"/>
      <c r="W47" s="60"/>
      <c r="X47" s="60"/>
      <c r="Y47" s="60"/>
      <c r="Z47" s="60"/>
      <c r="AA47" s="60"/>
      <c r="AB47" s="60"/>
      <c r="AC47" s="60"/>
      <c r="AD47" s="60"/>
    </row>
    <row r="48" spans="1:30" ht="12.75" customHeight="1" x14ac:dyDescent="0.2">
      <c r="A48" s="154"/>
      <c r="B48" s="122" t="s">
        <v>148</v>
      </c>
      <c r="C48" s="121" t="s">
        <v>129</v>
      </c>
      <c r="D48" s="55">
        <v>0</v>
      </c>
      <c r="E48" s="35">
        <v>3</v>
      </c>
      <c r="F48" s="56">
        <v>1</v>
      </c>
      <c r="N48" s="60"/>
      <c r="O48" s="60"/>
      <c r="P48" s="60"/>
      <c r="Q48" s="60"/>
      <c r="R48" s="60"/>
      <c r="S48" s="60"/>
      <c r="T48" s="60"/>
      <c r="U48" s="60"/>
      <c r="V48" s="60"/>
      <c r="W48" s="60"/>
      <c r="X48" s="60"/>
      <c r="Y48" s="60"/>
      <c r="Z48" s="60"/>
      <c r="AA48" s="60"/>
      <c r="AB48" s="60"/>
      <c r="AC48" s="60"/>
      <c r="AD48" s="60"/>
    </row>
    <row r="49" spans="1:6" ht="12.75" customHeight="1" x14ac:dyDescent="0.2">
      <c r="A49" s="154"/>
      <c r="B49" s="122" t="s">
        <v>149</v>
      </c>
      <c r="C49" s="121" t="s">
        <v>131</v>
      </c>
      <c r="D49" s="55">
        <v>0</v>
      </c>
      <c r="E49" s="35">
        <v>1</v>
      </c>
      <c r="F49" s="56">
        <v>1</v>
      </c>
    </row>
    <row r="50" spans="1:6" ht="12.75" customHeight="1" x14ac:dyDescent="0.2">
      <c r="A50" s="154"/>
      <c r="B50" s="122" t="s">
        <v>150</v>
      </c>
      <c r="C50" s="121" t="s">
        <v>132</v>
      </c>
      <c r="D50" s="55">
        <v>0</v>
      </c>
      <c r="E50" s="35">
        <v>1.4139999999999999</v>
      </c>
      <c r="F50" s="56">
        <v>1.4139999999999999</v>
      </c>
    </row>
    <row r="51" spans="1:6" ht="12.75" customHeight="1" x14ac:dyDescent="0.2">
      <c r="A51" s="154"/>
      <c r="B51" s="122" t="s">
        <v>151</v>
      </c>
      <c r="C51" s="121" t="s">
        <v>133</v>
      </c>
      <c r="D51" s="55">
        <v>0</v>
      </c>
      <c r="E51" s="35">
        <v>1</v>
      </c>
      <c r="F51" s="56">
        <v>0</v>
      </c>
    </row>
    <row r="52" spans="1:6" ht="12.75" customHeight="1" x14ac:dyDescent="0.2">
      <c r="A52" s="154"/>
      <c r="B52" s="122" t="s">
        <v>152</v>
      </c>
      <c r="C52" s="121" t="s">
        <v>134</v>
      </c>
      <c r="D52" s="55">
        <v>0</v>
      </c>
      <c r="E52" s="35">
        <v>0</v>
      </c>
      <c r="F52" s="56">
        <v>1</v>
      </c>
    </row>
    <row r="53" spans="1:6" ht="12.75" customHeight="1" x14ac:dyDescent="0.2">
      <c r="A53" s="154"/>
      <c r="B53" s="122" t="s">
        <v>153</v>
      </c>
      <c r="C53" s="121" t="s">
        <v>135</v>
      </c>
      <c r="D53" s="55">
        <v>0</v>
      </c>
      <c r="E53" s="35">
        <v>0</v>
      </c>
      <c r="F53" s="67">
        <v>0</v>
      </c>
    </row>
    <row r="54" spans="1:6" ht="12.75" customHeight="1" x14ac:dyDescent="0.2">
      <c r="A54" s="154"/>
      <c r="B54" s="122" t="s">
        <v>154</v>
      </c>
      <c r="C54" s="121" t="s">
        <v>117</v>
      </c>
      <c r="D54" s="55">
        <v>0</v>
      </c>
      <c r="E54" s="35">
        <v>0</v>
      </c>
      <c r="F54" s="67">
        <v>0</v>
      </c>
    </row>
    <row r="55" spans="1:6" ht="12.75" customHeight="1" x14ac:dyDescent="0.2">
      <c r="A55" s="154"/>
      <c r="B55" s="122" t="s">
        <v>155</v>
      </c>
      <c r="C55" s="121" t="s">
        <v>99</v>
      </c>
      <c r="D55" s="55">
        <v>0</v>
      </c>
      <c r="E55" s="35">
        <v>1.4139999999999999</v>
      </c>
      <c r="F55" s="67">
        <v>1.4139999999999999</v>
      </c>
    </row>
    <row r="56" spans="1:6" ht="12.75" customHeight="1" x14ac:dyDescent="0.2">
      <c r="A56" s="154"/>
      <c r="B56" s="122" t="s">
        <v>156</v>
      </c>
      <c r="C56" s="121" t="s">
        <v>116</v>
      </c>
      <c r="D56" s="55">
        <v>0</v>
      </c>
      <c r="E56" s="35">
        <v>1.4139999999999999</v>
      </c>
      <c r="F56" s="67">
        <v>1.4139999999999999</v>
      </c>
    </row>
    <row r="57" spans="1:6" ht="12.75" customHeight="1" x14ac:dyDescent="0.2">
      <c r="A57" s="154"/>
      <c r="B57" s="122" t="s">
        <v>157</v>
      </c>
      <c r="C57" s="121" t="s">
        <v>100</v>
      </c>
      <c r="D57" s="55">
        <v>0</v>
      </c>
      <c r="E57" s="35">
        <v>1.732</v>
      </c>
      <c r="F57" s="67">
        <v>1.732</v>
      </c>
    </row>
    <row r="58" spans="1:6" ht="12.75" customHeight="1" thickBot="1" x14ac:dyDescent="0.25">
      <c r="A58" s="154"/>
      <c r="B58" s="122" t="s">
        <v>158</v>
      </c>
      <c r="C58" s="121" t="s">
        <v>136</v>
      </c>
      <c r="D58" s="57">
        <v>0</v>
      </c>
      <c r="E58" s="58">
        <f>IF(Uncertainties_estimation!$J7=1,1,1.414)</f>
        <v>1</v>
      </c>
      <c r="F58" s="58">
        <f>IF(Uncertainties_estimation!$J7=1,1,1.414)</f>
        <v>1</v>
      </c>
    </row>
    <row r="59" spans="1:6" ht="12.75" customHeight="1" thickBot="1" x14ac:dyDescent="0.25">
      <c r="C59"/>
      <c r="D59"/>
    </row>
    <row r="60" spans="1:6" x14ac:dyDescent="0.2">
      <c r="A60" s="152" t="s">
        <v>198</v>
      </c>
      <c r="B60" s="144" t="s">
        <v>40</v>
      </c>
      <c r="C60" s="145" t="s">
        <v>90</v>
      </c>
      <c r="D60" s="52">
        <v>1.4139999999999999</v>
      </c>
      <c r="E60" s="53">
        <v>0</v>
      </c>
      <c r="F60" s="54">
        <v>0</v>
      </c>
    </row>
    <row r="61" spans="1:6" x14ac:dyDescent="0.2">
      <c r="A61" s="152"/>
      <c r="B61" s="144" t="s">
        <v>193</v>
      </c>
      <c r="C61" s="145" t="s">
        <v>195</v>
      </c>
      <c r="D61" s="55">
        <v>1</v>
      </c>
      <c r="E61" s="35">
        <v>0</v>
      </c>
      <c r="F61" s="56">
        <v>0</v>
      </c>
    </row>
    <row r="62" spans="1:6" x14ac:dyDescent="0.2">
      <c r="A62" s="152"/>
      <c r="B62" s="144" t="s">
        <v>194</v>
      </c>
      <c r="C62" s="145" t="s">
        <v>196</v>
      </c>
      <c r="D62" s="55">
        <f>IF(Uncertainties_estimation!$J7=1,1,1.414)</f>
        <v>1</v>
      </c>
      <c r="E62" s="35">
        <v>0</v>
      </c>
      <c r="F62" s="56">
        <v>0</v>
      </c>
    </row>
    <row r="63" spans="1:6" x14ac:dyDescent="0.2">
      <c r="A63" s="152"/>
      <c r="B63" s="144" t="s">
        <v>41</v>
      </c>
      <c r="C63" s="145" t="s">
        <v>91</v>
      </c>
      <c r="D63" s="55">
        <v>0</v>
      </c>
      <c r="E63" s="35">
        <v>0</v>
      </c>
      <c r="F63" s="56">
        <v>0</v>
      </c>
    </row>
    <row r="64" spans="1:6" x14ac:dyDescent="0.2">
      <c r="A64" s="152"/>
      <c r="B64" s="144" t="s">
        <v>42</v>
      </c>
      <c r="C64" s="145" t="s">
        <v>92</v>
      </c>
      <c r="D64" s="55">
        <v>1</v>
      </c>
      <c r="E64" s="35">
        <v>0</v>
      </c>
      <c r="F64" s="56">
        <v>0</v>
      </c>
    </row>
    <row r="65" spans="1:6" x14ac:dyDescent="0.2">
      <c r="A65" s="152"/>
      <c r="B65" s="144" t="s">
        <v>43</v>
      </c>
      <c r="C65" s="145" t="s">
        <v>93</v>
      </c>
      <c r="D65" s="55">
        <v>1.4139999999999999</v>
      </c>
      <c r="E65" s="35">
        <v>0</v>
      </c>
      <c r="F65" s="56">
        <v>0</v>
      </c>
    </row>
    <row r="66" spans="1:6" x14ac:dyDescent="0.2">
      <c r="A66" s="152"/>
      <c r="B66" s="144" t="s">
        <v>44</v>
      </c>
      <c r="C66" s="145" t="s">
        <v>101</v>
      </c>
      <c r="D66" s="55">
        <v>1.4139999999999999</v>
      </c>
      <c r="E66" s="35">
        <v>0</v>
      </c>
      <c r="F66" s="56">
        <v>0</v>
      </c>
    </row>
    <row r="67" spans="1:6" x14ac:dyDescent="0.2">
      <c r="A67" s="152"/>
      <c r="B67" s="144" t="s">
        <v>45</v>
      </c>
      <c r="C67" s="145" t="s">
        <v>95</v>
      </c>
      <c r="D67" s="55">
        <v>1.4139999999999999</v>
      </c>
      <c r="E67" s="35">
        <v>0</v>
      </c>
      <c r="F67" s="56">
        <v>0</v>
      </c>
    </row>
    <row r="68" spans="1:6" x14ac:dyDescent="0.2">
      <c r="A68" s="152"/>
      <c r="B68" s="144" t="s">
        <v>46</v>
      </c>
      <c r="C68" s="145" t="s">
        <v>96</v>
      </c>
      <c r="D68" s="55">
        <v>1.4139999999999999</v>
      </c>
      <c r="E68" s="35">
        <v>0</v>
      </c>
      <c r="F68" s="56">
        <v>0</v>
      </c>
    </row>
    <row r="69" spans="1:6" x14ac:dyDescent="0.2">
      <c r="A69" s="152"/>
      <c r="B69" s="144" t="s">
        <v>47</v>
      </c>
      <c r="C69" s="145" t="s">
        <v>97</v>
      </c>
      <c r="D69" s="55">
        <v>1.4139999999999999</v>
      </c>
      <c r="E69" s="35">
        <v>0</v>
      </c>
      <c r="F69" s="56">
        <v>0</v>
      </c>
    </row>
    <row r="70" spans="1:6" x14ac:dyDescent="0.2">
      <c r="A70" s="152"/>
      <c r="B70" s="144" t="s">
        <v>48</v>
      </c>
      <c r="C70" s="146" t="s">
        <v>98</v>
      </c>
      <c r="D70" s="55">
        <v>1.4139999999999999</v>
      </c>
      <c r="E70" s="35">
        <v>0</v>
      </c>
      <c r="F70" s="56">
        <v>0</v>
      </c>
    </row>
    <row r="71" spans="1:6" x14ac:dyDescent="0.2">
      <c r="A71" s="152"/>
      <c r="B71" s="144" t="s">
        <v>49</v>
      </c>
      <c r="C71" s="146" t="s">
        <v>99</v>
      </c>
      <c r="D71" s="55">
        <v>0</v>
      </c>
      <c r="E71" s="35">
        <v>0</v>
      </c>
      <c r="F71" s="56">
        <v>0</v>
      </c>
    </row>
    <row r="72" spans="1:6" x14ac:dyDescent="0.2">
      <c r="A72" s="152"/>
      <c r="B72" s="144" t="s">
        <v>50</v>
      </c>
      <c r="C72" s="146" t="s">
        <v>117</v>
      </c>
      <c r="D72" s="55">
        <v>0</v>
      </c>
      <c r="E72" s="35">
        <v>0</v>
      </c>
      <c r="F72" s="56">
        <v>0</v>
      </c>
    </row>
    <row r="73" spans="1:6" x14ac:dyDescent="0.2">
      <c r="A73" s="152"/>
      <c r="B73" s="144" t="s">
        <v>51</v>
      </c>
      <c r="C73" s="145" t="s">
        <v>118</v>
      </c>
      <c r="D73" s="55">
        <v>1</v>
      </c>
      <c r="E73" s="35">
        <v>0</v>
      </c>
      <c r="F73" s="56">
        <v>0</v>
      </c>
    </row>
    <row r="74" spans="1:6" x14ac:dyDescent="0.2">
      <c r="A74" s="152"/>
      <c r="B74" s="147" t="s">
        <v>52</v>
      </c>
      <c r="C74" s="146" t="s">
        <v>99</v>
      </c>
      <c r="D74" s="55">
        <v>1.4139999999999999</v>
      </c>
      <c r="E74" s="35">
        <v>0</v>
      </c>
      <c r="F74" s="56">
        <v>0</v>
      </c>
    </row>
    <row r="75" spans="1:6" x14ac:dyDescent="0.2">
      <c r="A75" s="152"/>
      <c r="B75" s="147" t="s">
        <v>53</v>
      </c>
      <c r="C75" s="145" t="s">
        <v>116</v>
      </c>
      <c r="D75" s="55">
        <v>1.4139999999999999</v>
      </c>
      <c r="E75" s="35">
        <v>0</v>
      </c>
      <c r="F75" s="56">
        <v>0</v>
      </c>
    </row>
    <row r="76" spans="1:6" ht="13.5" thickBot="1" x14ac:dyDescent="0.25">
      <c r="A76" s="152"/>
      <c r="B76" s="147" t="s">
        <v>79</v>
      </c>
      <c r="C76" s="145" t="s">
        <v>100</v>
      </c>
      <c r="D76" s="57">
        <v>1.732</v>
      </c>
      <c r="E76" s="58">
        <v>0</v>
      </c>
      <c r="F76" s="68">
        <v>0</v>
      </c>
    </row>
    <row r="77" spans="1:6" ht="13.5" thickBot="1" x14ac:dyDescent="0.25">
      <c r="A77" s="122"/>
      <c r="B77" s="122" t="s">
        <v>158</v>
      </c>
      <c r="C77" s="121" t="s">
        <v>136</v>
      </c>
      <c r="D77" s="57">
        <v>1</v>
      </c>
      <c r="E77" s="58">
        <v>0</v>
      </c>
      <c r="F77" s="58">
        <v>0</v>
      </c>
    </row>
  </sheetData>
  <mergeCells count="43">
    <mergeCell ref="K37:M37"/>
    <mergeCell ref="C2:G2"/>
    <mergeCell ref="J2:M2"/>
    <mergeCell ref="B3:C3"/>
    <mergeCell ref="K4:M4"/>
    <mergeCell ref="K21:M21"/>
    <mergeCell ref="K5:M5"/>
    <mergeCell ref="K6:M6"/>
    <mergeCell ref="K7:M7"/>
    <mergeCell ref="K8:M8"/>
    <mergeCell ref="K9:M9"/>
    <mergeCell ref="K10:M10"/>
    <mergeCell ref="K11:M11"/>
    <mergeCell ref="K12:M12"/>
    <mergeCell ref="K13:M13"/>
    <mergeCell ref="K14:M14"/>
    <mergeCell ref="K26:M26"/>
    <mergeCell ref="K27:M27"/>
    <mergeCell ref="K28:M28"/>
    <mergeCell ref="K29:M29"/>
    <mergeCell ref="K36:M36"/>
    <mergeCell ref="K35:M35"/>
    <mergeCell ref="K30:M30"/>
    <mergeCell ref="K31:M31"/>
    <mergeCell ref="K32:M32"/>
    <mergeCell ref="K33:M33"/>
    <mergeCell ref="K34:M34"/>
    <mergeCell ref="K23:M23"/>
    <mergeCell ref="A44:A58"/>
    <mergeCell ref="A60:A76"/>
    <mergeCell ref="A5:A19"/>
    <mergeCell ref="A21:A37"/>
    <mergeCell ref="K20:M20"/>
    <mergeCell ref="D43:F43"/>
    <mergeCell ref="E41:F41"/>
    <mergeCell ref="K15:M15"/>
    <mergeCell ref="K16:M16"/>
    <mergeCell ref="K17:M17"/>
    <mergeCell ref="K18:M18"/>
    <mergeCell ref="K19:M19"/>
    <mergeCell ref="K22:M22"/>
    <mergeCell ref="K24:M24"/>
    <mergeCell ref="K25:M25"/>
  </mergeCells>
  <printOptions horizontalCentered="1" verticalCentered="1"/>
  <pageMargins left="0.23622047244094491" right="0.23622047244094491" top="0.74803149606299213" bottom="0.74803149606299213" header="0.31496062992125984" footer="0.31496062992125984"/>
  <pageSetup paperSize="9" scale="70" fitToWidth="0" fitToHeight="0" orientation="landscape" r:id="rId1"/>
  <headerFooter alignWithMargins="0">
    <oddHeader>&amp;C&amp;F</oddHeader>
    <oddFooter>&amp;CPage &amp;P de &amp;N</oddFooter>
    <evenHeader>&amp;C&amp;F</evenHeader>
    <evenFooter>&amp;CPage &amp;P de &amp;N</evenFooter>
    <firstHeader>&amp;C&amp;F</firstHeader>
    <firstFooter>&amp;CPage &amp;P de &amp;N</firstFooter>
  </headerFooter>
  <rowBreaks count="1" manualBreakCount="1">
    <brk id="6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AD7657B5A5D3444AD7CEC680366A6E4" ma:contentTypeVersion="14" ma:contentTypeDescription="Create a new document." ma:contentTypeScope="" ma:versionID="1c1219ab1b90340f1a1ee74a45551164">
  <xsd:schema xmlns:xsd="http://www.w3.org/2001/XMLSchema" xmlns:xs="http://www.w3.org/2001/XMLSchema" xmlns:p="http://schemas.microsoft.com/office/2006/metadata/properties" xmlns:ns2="5bdfbd78-3a46-43f2-9a7c-c26699e30ef4" xmlns:ns3="ac85e0a4-59c4-45c4-b0de-ca25b7cd183d" xmlns:ns4="1c82e102-8c04-4b4d-8c4a-e5544d56cfe3" targetNamespace="http://schemas.microsoft.com/office/2006/metadata/properties" ma:root="true" ma:fieldsID="2291cfee2ae36b00f021ea231e9eaeed" ns2:_="" ns3:_="" ns4:_="">
    <xsd:import namespace="5bdfbd78-3a46-43f2-9a7c-c26699e30ef4"/>
    <xsd:import namespace="ac85e0a4-59c4-45c4-b0de-ca25b7cd183d"/>
    <xsd:import namespace="1c82e102-8c04-4b4d-8c4a-e5544d56cfe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dfbd78-3a46-43f2-9a7c-c26699e30e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0c7aab7b-9c5a-48dd-901a-43edd0466fa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c85e0a4-59c4-45c4-b0de-ca25b7cd183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c82e102-8c04-4b4d-8c4a-e5544d56cfe3"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02aba1fd-457b-441d-b299-06a3371bd607}" ma:internalName="TaxCatchAll" ma:showField="CatchAllData" ma:web="1c82e102-8c04-4b4d-8c4a-e5544d56cf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2F78B7-E623-4687-8415-C292ED511D41}"/>
</file>

<file path=customXml/itemProps2.xml><?xml version="1.0" encoding="utf-8"?>
<ds:datastoreItem xmlns:ds="http://schemas.openxmlformats.org/officeDocument/2006/customXml" ds:itemID="{5C6FB1D7-A9A9-4819-A7A5-6446C95401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Guidance</vt:lpstr>
      <vt:lpstr>Uncertainties_estimation</vt:lpstr>
      <vt:lpstr>Uncertainties_sources</vt:lpstr>
      <vt:lpstr>Guidance!Print_Area</vt:lpstr>
      <vt:lpstr>Uncertainties_estimation!Print_Area</vt:lpstr>
      <vt:lpstr>Uncertainties_sources!Print_Area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2015-06-18T08:54:04Z</dcterms:created>
  <dcterms:modified xsi:type="dcterms:W3CDTF">2022-06-29T05:02:49Z</dcterms:modified>
</cp:coreProperties>
</file>