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60" windowHeight="11520" tabRatio="897" firstSheet="1" activeTab="6"/>
  </bookViews>
  <sheets>
    <sheet name="Cover" sheetId="1" r:id="rId1"/>
    <sheet name="Input Form" sheetId="3" r:id="rId2"/>
    <sheet name="Hydraulic Perf. (Results)" sheetId="5" r:id="rId3"/>
    <sheet name="Specific Energy Eff." sheetId="6" r:id="rId4"/>
    <sheet name="Power Eff." sheetId="7" r:id="rId5"/>
    <sheet name="Volumetric Eff." sheetId="8" r:id="rId6"/>
    <sheet name="EtahAmaxM (Spec. Energy Eff.)" sheetId="12" r:id="rId7"/>
    <sheet name="EtahAmaxM (Power Eff.)" sheetId="14" r:id="rId8"/>
  </sheets>
  <definedNames>
    <definedName name="_Date">'Input Form'!$B$6</definedName>
    <definedName name="DA">'Input Form'!$D$18</definedName>
    <definedName name="DB">'Input Form'!$D$82</definedName>
    <definedName name="dTref">'Power Eff.'!$C$30</definedName>
    <definedName name="EAi">'Input Form'!$D$34</definedName>
    <definedName name="EAopt">'Specific Energy Eff.'!$D$23</definedName>
    <definedName name="EBi">'Specific Energy Eff.'!$D$85</definedName>
    <definedName name="EBopt">'Specific Energy Eff.'!$D$87</definedName>
    <definedName name="EMBi">'Hydraulic Perf. (Results)'!$F$22</definedName>
    <definedName name="EtaAi">'Input Form'!$D$35</definedName>
    <definedName name="EtaAopt">'Specific Energy Eff.'!$D$24</definedName>
    <definedName name="EtaBi">'Hydraulic Perf. (Results)'!$F$23</definedName>
    <definedName name="EtaBopt">'Hydraulic Perf. (Results)'!$C$23</definedName>
    <definedName name="EtahAMAX">'Hydraulic Perf. (Results)'!$E$44</definedName>
    <definedName name="fi">'Input Form'!$M$83</definedName>
    <definedName name="Homol_seal">'Input Form'!$D$51</definedName>
    <definedName name="Ic">'Input Form'!$C$9</definedName>
    <definedName name="IT">'Input Form'!$C$13</definedName>
    <definedName name="kT">'Power Eff.'!$C$28</definedName>
    <definedName name="lambdaC">'Volumetric Eff.'!$G$76</definedName>
    <definedName name="nAi">'Input Form'!$D$32</definedName>
    <definedName name="nAopt">'Specific Energy Eff.'!$D$21</definedName>
    <definedName name="nB">'Specific Energy Eff.'!$D$37</definedName>
    <definedName name="NQE">'Specific Energy Eff.'!$D$54</definedName>
    <definedName name="_xlnm.Print_Area" localSheetId="0">Cover!$A$1:$C$54</definedName>
    <definedName name="_xlnm.Print_Area" localSheetId="6">'EtahAmaxM (Spec. Energy Eff.)'!$A$1:$K$73</definedName>
    <definedName name="_xlnm.Print_Area" localSheetId="2">'Hydraulic Perf. (Results)'!$A$1:$G$44</definedName>
    <definedName name="_xlnm.Print_Area" localSheetId="1">'Input Form'!$A$1:$J$131</definedName>
    <definedName name="_xlnm.Print_Area" localSheetId="4">'Power Eff.'!$A$1:$H$43</definedName>
    <definedName name="_xlnm.Print_Area" localSheetId="3">'Specific Energy Eff.'!$A$1:$K$88</definedName>
    <definedName name="_xlnm.Print_Area" localSheetId="5">'Volumetric Eff.'!$A$1:$I$133</definedName>
    <definedName name="Project">'Input Form'!$B$4</definedName>
    <definedName name="Q1Ai">'Input Form'!$D$33</definedName>
    <definedName name="Q1Aopt">'Specific Energy Eff.'!$D$22</definedName>
    <definedName name="Q1Bi">'Volumetric Eff.'!$D$130</definedName>
    <definedName name="Q1Bopt">'Volumetric Eff.'!$D$132</definedName>
    <definedName name="RaDTA">'Input Form'!$E$45</definedName>
    <definedName name="RaDTB">'Input Form'!$E$102</definedName>
    <definedName name="RaGVA">'Input Form'!$E$43</definedName>
    <definedName name="RaGVB">'Input Form'!$E$100</definedName>
    <definedName name="RaRUA">'Input Form'!$E$44</definedName>
    <definedName name="RaRUB">'Input Form'!$E$101</definedName>
    <definedName name="RaSPA">'Input Form'!$E$41</definedName>
    <definedName name="RaSPB">'Input Form'!$E$98</definedName>
    <definedName name="RaSVA">'Input Form'!$E$42</definedName>
    <definedName name="RaSVB">'Input Form'!$E$99</definedName>
    <definedName name="RaTA">'Power Eff.'!$D$20</definedName>
    <definedName name="RaTB">'Power Eff.'!$D$25</definedName>
    <definedName name="RaTRA">'Input Form'!$E$46</definedName>
    <definedName name="RaTRB">'Input Form'!$E$103</definedName>
    <definedName name="RaTSA">'Input Form'!$E$47</definedName>
    <definedName name="RaTSB">'Input Form'!$E$104</definedName>
    <definedName name="ReAi">'Specific Energy Eff.'!$E$60</definedName>
    <definedName name="ReAopt">'Specific Energy Eff.'!$D$60</definedName>
    <definedName name="ReB">'Specific Energy Eff.'!$D$61</definedName>
    <definedName name="RefNumb">'Input Form'!$H$4</definedName>
    <definedName name="rhoB">'Hydraulic Perf. (Results)'!$F$15</definedName>
    <definedName name="rhoMstar">'Hydraulic Perf. (Results)'!$F$15</definedName>
    <definedName name="twAi">'Input Form'!$D$36</definedName>
    <definedName name="twAopt">'Specific Energy Eff.'!$D$25</definedName>
    <definedName name="twB">'Specific Energy Eff.'!$D$43</definedName>
    <definedName name="twP">'Input Form'!$D$85</definedName>
    <definedName name="ViscAi">'Specific Energy Eff.'!$H$26</definedName>
    <definedName name="ViscAopt">'Specific Energy Eff.'!$D$26</definedName>
    <definedName name="ViscB">'Specific Energy Eff.'!$D$44</definedName>
    <definedName name="Zd">'Input Form'!$M$84</definedName>
    <definedName name="Zetak1">'Volumetric Eff.'!$D$76</definedName>
    <definedName name="Zetak2">'Volumetric Eff.'!$D$77</definedName>
    <definedName name="ZetakS">'Volumetric Eff.'!$G$77</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1" i="12" l="1"/>
  <c r="B40" i="12"/>
  <c r="B37" i="12"/>
  <c r="B34" i="12"/>
  <c r="B23" i="12"/>
  <c r="D20" i="14" l="1"/>
  <c r="C6" i="5" l="1"/>
  <c r="C7" i="6" s="1"/>
  <c r="C7" i="7" s="1"/>
  <c r="C6" i="8" s="1"/>
  <c r="C7" i="12" s="1"/>
  <c r="C7" i="14" s="1"/>
  <c r="C4" i="5"/>
  <c r="C5" i="6" s="1"/>
  <c r="C5" i="7" s="1"/>
  <c r="C4" i="8" s="1"/>
  <c r="C5" i="12" s="1"/>
  <c r="C5" i="14" s="1"/>
  <c r="B72" i="12" l="1"/>
  <c r="D20" i="5" l="1"/>
  <c r="B38" i="14" l="1"/>
  <c r="E35" i="14"/>
  <c r="E36" i="14"/>
  <c r="E32" i="14"/>
  <c r="E33" i="14"/>
  <c r="B23" i="14"/>
  <c r="B25" i="14"/>
  <c r="B24" i="14"/>
  <c r="C22" i="14"/>
  <c r="B61" i="12"/>
  <c r="F54" i="12"/>
  <c r="C32" i="12"/>
  <c r="B44" i="5"/>
  <c r="E95" i="3" l="1"/>
  <c r="E40" i="3"/>
  <c r="D95" i="3"/>
  <c r="D18" i="14" l="1"/>
  <c r="D48" i="12"/>
  <c r="D47" i="12"/>
  <c r="D46" i="12"/>
  <c r="D45" i="12"/>
  <c r="D44" i="12"/>
  <c r="D37" i="12"/>
  <c r="D18" i="12"/>
  <c r="D23" i="14" l="1"/>
  <c r="B84" i="3" l="1"/>
  <c r="B44" i="12"/>
  <c r="B45" i="12"/>
  <c r="B54" i="12"/>
  <c r="B56" i="12"/>
  <c r="D55" i="12"/>
  <c r="D19" i="14" s="1"/>
  <c r="D35" i="14" s="1"/>
  <c r="B48" i="12"/>
  <c r="B47" i="12"/>
  <c r="B46" i="12"/>
  <c r="D107" i="3"/>
  <c r="E52" i="3"/>
  <c r="E51" i="3"/>
  <c r="E106" i="3"/>
  <c r="E60" i="12" l="1"/>
  <c r="G60" i="12"/>
  <c r="D60" i="12"/>
  <c r="F60" i="12"/>
  <c r="H60" i="12"/>
  <c r="E110" i="3" l="1"/>
  <c r="B22" i="12" l="1"/>
  <c r="B21" i="12"/>
  <c r="D12" i="12" l="1"/>
  <c r="D12" i="14"/>
  <c r="H61" i="12" l="1"/>
  <c r="G61" i="12"/>
  <c r="F61" i="12"/>
  <c r="E61" i="12"/>
  <c r="D61" i="12"/>
  <c r="C9" i="14" l="1"/>
  <c r="G5" i="14"/>
  <c r="B2" i="14"/>
  <c r="D65" i="12"/>
  <c r="H66" i="12"/>
  <c r="H67" i="12" s="1"/>
  <c r="C9" i="12"/>
  <c r="I5" i="12"/>
  <c r="D32" i="14" l="1"/>
  <c r="C8" i="8"/>
  <c r="C9" i="7"/>
  <c r="C8" i="5"/>
  <c r="C9" i="6"/>
  <c r="G21" i="3" l="1"/>
  <c r="B21" i="3"/>
  <c r="D43" i="6"/>
  <c r="D22" i="12" s="1"/>
  <c r="C24" i="5"/>
  <c r="F15" i="5" l="1"/>
  <c r="D44" i="6"/>
  <c r="C15" i="5"/>
  <c r="E58" i="6"/>
  <c r="H25" i="6"/>
  <c r="H26" i="6" s="1"/>
  <c r="H24" i="6"/>
  <c r="H23" i="6"/>
  <c r="H22" i="6"/>
  <c r="H21" i="6"/>
  <c r="B31" i="3"/>
  <c r="F32" i="5"/>
  <c r="H71" i="6"/>
  <c r="H72" i="6" s="1"/>
  <c r="E60" i="6" l="1"/>
  <c r="D11" i="8"/>
  <c r="K106" i="3"/>
  <c r="K100" i="3"/>
  <c r="H92" i="3"/>
  <c r="H85" i="3"/>
  <c r="J130" i="3"/>
  <c r="J129" i="3"/>
  <c r="J128" i="3"/>
  <c r="J127" i="3"/>
  <c r="J126" i="3"/>
  <c r="J125" i="3"/>
  <c r="J124" i="3"/>
  <c r="J123" i="3"/>
  <c r="J122" i="3"/>
  <c r="J118" i="3"/>
  <c r="J117" i="3"/>
  <c r="J116" i="3"/>
  <c r="J115" i="3"/>
  <c r="J114" i="3"/>
  <c r="J113" i="3"/>
  <c r="J112" i="3"/>
  <c r="J111" i="3"/>
  <c r="J110" i="3"/>
  <c r="E130" i="3"/>
  <c r="E129" i="3"/>
  <c r="E128" i="3"/>
  <c r="E127" i="3"/>
  <c r="E126" i="3"/>
  <c r="E125" i="3"/>
  <c r="E124" i="3"/>
  <c r="E123" i="3"/>
  <c r="E122" i="3"/>
  <c r="E118" i="3"/>
  <c r="E117" i="3"/>
  <c r="E116" i="3"/>
  <c r="E115" i="3"/>
  <c r="E114" i="3"/>
  <c r="E113" i="3"/>
  <c r="E112" i="3"/>
  <c r="E111" i="3"/>
  <c r="E91" i="3"/>
  <c r="G86" i="3"/>
  <c r="G84" i="3"/>
  <c r="E92" i="3"/>
  <c r="B83" i="3"/>
  <c r="D34" i="7" l="1"/>
  <c r="H87" i="3"/>
  <c r="D47" i="3"/>
  <c r="D46" i="3"/>
  <c r="D45" i="3"/>
  <c r="D44" i="3"/>
  <c r="D43" i="3"/>
  <c r="D42" i="3"/>
  <c r="D41" i="3"/>
  <c r="D40" i="3"/>
  <c r="E41" i="5" l="1"/>
  <c r="F66" i="6" l="1"/>
  <c r="F65" i="6"/>
  <c r="H66" i="6"/>
  <c r="G66" i="6"/>
  <c r="E66" i="6"/>
  <c r="D66" i="6"/>
  <c r="D51" i="6"/>
  <c r="D50" i="6"/>
  <c r="D49" i="6"/>
  <c r="D48" i="6"/>
  <c r="D47" i="6"/>
  <c r="M93" i="3"/>
  <c r="M91" i="3"/>
  <c r="M85" i="3"/>
  <c r="M94" i="3" l="1"/>
  <c r="M97" i="3" s="1"/>
  <c r="M92" i="3"/>
  <c r="M96" i="3" s="1"/>
  <c r="M98" i="3" l="1"/>
  <c r="D25" i="6" l="1"/>
  <c r="H40" i="8"/>
  <c r="D40" i="8"/>
  <c r="H39" i="8"/>
  <c r="D39" i="8"/>
  <c r="H38" i="8"/>
  <c r="D38" i="8"/>
  <c r="H37" i="8"/>
  <c r="D37" i="8"/>
  <c r="H36" i="8"/>
  <c r="D36" i="8"/>
  <c r="H35" i="8"/>
  <c r="G92" i="8" s="1"/>
  <c r="D35" i="8"/>
  <c r="C92" i="8" s="1"/>
  <c r="H34" i="8"/>
  <c r="D34" i="8"/>
  <c r="H33" i="8"/>
  <c r="D33" i="8"/>
  <c r="H32" i="8"/>
  <c r="D32" i="8"/>
  <c r="H27" i="8"/>
  <c r="D27" i="8"/>
  <c r="H26" i="8"/>
  <c r="D26" i="8"/>
  <c r="H25" i="8"/>
  <c r="D25" i="8"/>
  <c r="H24" i="8"/>
  <c r="D24" i="8"/>
  <c r="H23" i="8"/>
  <c r="D23" i="8"/>
  <c r="H22" i="8"/>
  <c r="D22" i="8"/>
  <c r="C83" i="8" s="1"/>
  <c r="H21" i="8"/>
  <c r="D21" i="8"/>
  <c r="C82" i="8" s="1"/>
  <c r="H20" i="8"/>
  <c r="D20" i="8"/>
  <c r="H19" i="8"/>
  <c r="D19" i="8"/>
  <c r="D21" i="6"/>
  <c r="D34" i="12" s="1"/>
  <c r="D44" i="8"/>
  <c r="C42" i="8"/>
  <c r="D14" i="8"/>
  <c r="C12" i="8"/>
  <c r="G6" i="8"/>
  <c r="H4" i="8"/>
  <c r="D23" i="7"/>
  <c r="C22" i="7"/>
  <c r="D20" i="7"/>
  <c r="D25" i="14" s="1"/>
  <c r="D18" i="7"/>
  <c r="C16" i="7"/>
  <c r="F9" i="7"/>
  <c r="D12" i="7"/>
  <c r="G5" i="7"/>
  <c r="B2" i="7"/>
  <c r="H65" i="6"/>
  <c r="G65" i="6"/>
  <c r="E65" i="6"/>
  <c r="D65" i="6"/>
  <c r="D40" i="6"/>
  <c r="C35" i="6"/>
  <c r="D33" i="6"/>
  <c r="D32" i="6"/>
  <c r="D31" i="6"/>
  <c r="D30" i="6"/>
  <c r="D29" i="6"/>
  <c r="F20" i="6"/>
  <c r="D18" i="6"/>
  <c r="C16" i="6"/>
  <c r="H9" i="6"/>
  <c r="D12" i="6"/>
  <c r="I5" i="6"/>
  <c r="E40" i="5"/>
  <c r="E18" i="5"/>
  <c r="B18" i="5"/>
  <c r="E8" i="5"/>
  <c r="F4" i="5"/>
  <c r="C79" i="3"/>
  <c r="C15" i="3"/>
  <c r="D32" i="7" l="1"/>
  <c r="G32" i="14"/>
  <c r="D26" i="6"/>
  <c r="D40" i="12"/>
  <c r="D41" i="12" s="1"/>
  <c r="D56" i="12" s="1"/>
  <c r="D54" i="12"/>
  <c r="C81" i="8"/>
  <c r="D58" i="6"/>
  <c r="D60" i="6" s="1"/>
  <c r="D24" i="14" s="1"/>
  <c r="G35" i="14" s="1"/>
  <c r="G93" i="8"/>
  <c r="G90" i="8"/>
  <c r="G91" i="8"/>
  <c r="C93" i="8"/>
  <c r="C90" i="8"/>
  <c r="C91" i="8"/>
  <c r="G84" i="8"/>
  <c r="G81" i="8"/>
  <c r="G82" i="8"/>
  <c r="G83" i="8"/>
  <c r="C84" i="8"/>
  <c r="V49" i="8"/>
  <c r="H50" i="8" s="1"/>
  <c r="D71" i="8"/>
  <c r="G94" i="8" l="1"/>
  <c r="D56" i="8"/>
  <c r="D55" i="8"/>
  <c r="D58" i="8"/>
  <c r="D51" i="8"/>
  <c r="D57" i="8"/>
  <c r="D52" i="8"/>
  <c r="D50" i="8"/>
  <c r="D53" i="8"/>
  <c r="D54" i="8"/>
  <c r="H72" i="8"/>
  <c r="D67" i="8"/>
  <c r="H65" i="8"/>
  <c r="H51" i="8"/>
  <c r="H57" i="8"/>
  <c r="D64" i="8"/>
  <c r="H69" i="8"/>
  <c r="H64" i="8"/>
  <c r="D66" i="8"/>
  <c r="D65" i="8"/>
  <c r="H70" i="8"/>
  <c r="D72" i="8"/>
  <c r="H52" i="8"/>
  <c r="H54" i="8"/>
  <c r="D69" i="8"/>
  <c r="H66" i="8"/>
  <c r="H53" i="8"/>
  <c r="D68" i="8"/>
  <c r="H71" i="8"/>
  <c r="H56" i="8"/>
  <c r="H67" i="8"/>
  <c r="H68" i="8"/>
  <c r="H55" i="8"/>
  <c r="D70" i="8"/>
  <c r="H58" i="8"/>
  <c r="G85" i="8"/>
  <c r="C94" i="8"/>
  <c r="G28" i="3"/>
  <c r="D39" i="7"/>
  <c r="I36" i="3"/>
  <c r="D19" i="7"/>
  <c r="C85" i="8"/>
  <c r="C95" i="8" l="1"/>
  <c r="G105" i="8"/>
  <c r="C113" i="8"/>
  <c r="C112" i="8"/>
  <c r="C114" i="8"/>
  <c r="C115" i="8"/>
  <c r="G113" i="8"/>
  <c r="C103" i="8"/>
  <c r="G104" i="8"/>
  <c r="G115" i="8"/>
  <c r="G114" i="8"/>
  <c r="G112" i="8"/>
  <c r="G106" i="8"/>
  <c r="G103" i="8"/>
  <c r="C106" i="8"/>
  <c r="C105" i="8"/>
  <c r="C104" i="8"/>
  <c r="C86" i="8"/>
  <c r="G116" i="8" l="1"/>
  <c r="C107" i="8"/>
  <c r="C116" i="8"/>
  <c r="G107" i="8"/>
  <c r="C98" i="8"/>
  <c r="C108" i="8" l="1"/>
  <c r="C117" i="8"/>
  <c r="C120" i="8" l="1"/>
  <c r="D25" i="7"/>
  <c r="G32" i="7" s="1"/>
  <c r="F24" i="5" l="1"/>
  <c r="F12" i="5" l="1"/>
  <c r="D91" i="3"/>
  <c r="D37" i="6" l="1"/>
  <c r="D21" i="12" s="1"/>
  <c r="D53" i="12" s="1"/>
  <c r="F20" i="5" l="1"/>
  <c r="C20" i="5"/>
  <c r="D59" i="6"/>
  <c r="E59" i="6" s="1"/>
  <c r="D61" i="6"/>
  <c r="I92" i="3" l="1"/>
  <c r="G34" i="7"/>
  <c r="G39" i="7"/>
  <c r="D24" i="7"/>
  <c r="F13" i="5"/>
  <c r="E61" i="6"/>
  <c r="D22" i="6" l="1"/>
  <c r="D23" i="6" l="1"/>
  <c r="D54" i="6" l="1"/>
  <c r="F71" i="6" l="1"/>
  <c r="F72" i="6" s="1"/>
  <c r="D14" i="12"/>
  <c r="C13" i="5"/>
  <c r="E71" i="6"/>
  <c r="E72" i="6" s="1"/>
  <c r="D71" i="6"/>
  <c r="D72" i="6" s="1"/>
  <c r="D17" i="14"/>
  <c r="C28" i="14" s="1"/>
  <c r="G65" i="12"/>
  <c r="E53" i="6"/>
  <c r="C28" i="7"/>
  <c r="G33" i="7" s="1"/>
  <c r="G71" i="6"/>
  <c r="G72" i="6" s="1"/>
  <c r="E42" i="5"/>
  <c r="E43" i="5" s="1"/>
  <c r="H65" i="12"/>
  <c r="H71" i="12" s="1"/>
  <c r="D14" i="6"/>
  <c r="D17" i="7"/>
  <c r="E66" i="12" l="1"/>
  <c r="E67" i="12" s="1"/>
  <c r="F65" i="12"/>
  <c r="C30" i="14"/>
  <c r="D33" i="7"/>
  <c r="D40" i="7" s="1"/>
  <c r="E65" i="12"/>
  <c r="E71" i="12" s="1"/>
  <c r="D66" i="12"/>
  <c r="D67" i="12" s="1"/>
  <c r="D71" i="12" s="1"/>
  <c r="G66" i="12"/>
  <c r="G67" i="12" s="1"/>
  <c r="G71" i="12" s="1"/>
  <c r="F66" i="12"/>
  <c r="F67" i="12" s="1"/>
  <c r="G40" i="7"/>
  <c r="G35" i="7"/>
  <c r="G33" i="14"/>
  <c r="G36" i="14" s="1"/>
  <c r="D33" i="14"/>
  <c r="D36" i="14" s="1"/>
  <c r="C38" i="14" l="1"/>
  <c r="D35" i="7"/>
  <c r="F71" i="12"/>
  <c r="F72" i="12" s="1"/>
  <c r="E44" i="5" l="1"/>
  <c r="D24" i="6"/>
  <c r="A30" i="5" s="1"/>
  <c r="A29" i="5" l="1"/>
  <c r="E70" i="6"/>
  <c r="G70" i="6"/>
  <c r="F70" i="6"/>
  <c r="C125" i="8"/>
  <c r="C32" i="5"/>
  <c r="H70" i="6"/>
  <c r="C30" i="7"/>
  <c r="D70" i="6"/>
  <c r="F81" i="6" l="1"/>
  <c r="F76" i="6"/>
  <c r="E76" i="6"/>
  <c r="E81" i="6"/>
  <c r="C37" i="7"/>
  <c r="F35" i="5" s="1"/>
  <c r="C42" i="7"/>
  <c r="C35" i="5" s="1"/>
  <c r="C124" i="8"/>
  <c r="C126" i="8"/>
  <c r="H76" i="6"/>
  <c r="H81" i="6"/>
  <c r="D76" i="6"/>
  <c r="D81" i="6"/>
  <c r="G81" i="6"/>
  <c r="G76" i="6"/>
  <c r="F77" i="6" l="1"/>
  <c r="F82" i="6"/>
  <c r="D85" i="6" s="1"/>
  <c r="C34" i="5"/>
  <c r="F34" i="5"/>
  <c r="D130" i="8"/>
  <c r="D132" i="8"/>
  <c r="D126" i="8"/>
  <c r="D87" i="6" l="1"/>
  <c r="AE101" i="3" s="1"/>
  <c r="F33" i="5"/>
  <c r="F23" i="5" s="1"/>
  <c r="C21" i="5"/>
  <c r="F22" i="5"/>
  <c r="F21" i="5"/>
  <c r="C33" i="5"/>
  <c r="AM103" i="3" l="1"/>
  <c r="AF106" i="3"/>
  <c r="AF114" i="3"/>
  <c r="AL107" i="3"/>
  <c r="AF113" i="3"/>
  <c r="AL113" i="3"/>
  <c r="C22" i="5"/>
  <c r="AM114" i="3"/>
  <c r="AH103" i="3"/>
  <c r="AL106" i="3"/>
  <c r="AE114" i="3"/>
  <c r="AI106" i="3"/>
  <c r="AH106" i="3"/>
  <c r="AF101" i="3"/>
  <c r="AM106" i="3"/>
  <c r="AL111" i="3"/>
  <c r="AG113" i="3"/>
  <c r="AH110" i="3"/>
  <c r="AL103" i="3"/>
  <c r="AM102" i="3"/>
  <c r="AH114" i="3"/>
  <c r="AG114" i="3"/>
  <c r="AE107" i="3"/>
  <c r="AG101" i="3"/>
  <c r="AG103" i="3"/>
  <c r="AM111" i="3"/>
  <c r="AI103" i="3"/>
  <c r="AF107" i="3"/>
  <c r="AG110" i="3"/>
  <c r="AI107" i="3"/>
  <c r="AG107" i="3"/>
  <c r="AG106" i="3"/>
  <c r="AE103" i="3"/>
  <c r="AG102" i="3"/>
  <c r="AE104" i="3"/>
  <c r="AF105" i="3"/>
  <c r="AI101" i="3"/>
  <c r="AF111" i="3"/>
  <c r="AF103" i="3"/>
  <c r="AG104" i="3"/>
  <c r="AM110" i="3"/>
  <c r="AM112" i="3"/>
  <c r="AF110" i="3"/>
  <c r="AH102" i="3"/>
  <c r="AF104" i="3"/>
  <c r="AH111" i="3"/>
  <c r="AL114" i="3"/>
  <c r="AF102" i="3"/>
  <c r="AE102" i="3"/>
  <c r="AM101" i="3"/>
  <c r="AL102" i="3"/>
  <c r="AM105" i="3"/>
  <c r="AH101" i="3"/>
  <c r="AE106" i="3"/>
  <c r="AH107" i="3"/>
  <c r="AH112" i="3"/>
  <c r="AL112" i="3"/>
  <c r="AH105" i="3"/>
  <c r="AI104" i="3"/>
  <c r="AG111" i="3"/>
  <c r="AH104" i="3"/>
  <c r="AL110" i="3"/>
  <c r="AE110" i="3"/>
  <c r="AI102" i="3"/>
  <c r="AM104" i="3"/>
  <c r="AE111" i="3"/>
  <c r="AL101" i="3"/>
  <c r="AL104" i="3"/>
  <c r="AE112" i="3"/>
  <c r="AM107" i="3"/>
  <c r="AM113" i="3"/>
  <c r="AH113" i="3"/>
  <c r="AI105" i="3"/>
  <c r="AF112" i="3"/>
  <c r="AG112" i="3"/>
  <c r="AE105" i="3"/>
  <c r="AG105" i="3"/>
  <c r="AE113" i="3"/>
  <c r="AL105" i="3"/>
  <c r="C23" i="5"/>
  <c r="C37" i="5" s="1"/>
  <c r="F37" i="5"/>
  <c r="F27" i="5"/>
  <c r="D103" i="3" l="1"/>
  <c r="D102" i="3"/>
  <c r="D104" i="3"/>
  <c r="D101" i="3"/>
  <c r="D98" i="3"/>
  <c r="D100" i="3"/>
  <c r="D99" i="3"/>
  <c r="C27" i="5"/>
</calcChain>
</file>

<file path=xl/comments1.xml><?xml version="1.0" encoding="utf-8"?>
<comments xmlns="http://schemas.openxmlformats.org/spreadsheetml/2006/main">
  <authors>
    <author>IEC 62097- WG18</author>
    <author>b57947</author>
  </authors>
  <commentList>
    <comment ref="B4" authorId="0">
      <text>
        <r>
          <rPr>
            <b/>
            <sz val="9"/>
            <color indexed="81"/>
            <rFont val="Tahoma"/>
            <family val="2"/>
          </rPr>
          <t>IEC 62097:</t>
        </r>
        <r>
          <rPr>
            <sz val="9"/>
            <color indexed="81"/>
            <rFont val="Tahoma"/>
            <family val="2"/>
          </rPr>
          <t xml:space="preserve">
See Note 1</t>
        </r>
      </text>
    </comment>
    <comment ref="H4" authorId="0">
      <text>
        <r>
          <rPr>
            <b/>
            <sz val="9"/>
            <color indexed="81"/>
            <rFont val="Tahoma"/>
            <family val="2"/>
          </rPr>
          <t>IEC 62097:</t>
        </r>
        <r>
          <rPr>
            <sz val="9"/>
            <color indexed="81"/>
            <rFont val="Tahoma"/>
            <family val="2"/>
          </rPr>
          <t xml:space="preserve">
See Note 1</t>
        </r>
      </text>
    </comment>
    <comment ref="B6" authorId="1">
      <text>
        <r>
          <rPr>
            <b/>
            <sz val="9"/>
            <color indexed="81"/>
            <rFont val="Tahoma"/>
            <family val="2"/>
          </rPr>
          <t>IEC 62097:</t>
        </r>
        <r>
          <rPr>
            <sz val="9"/>
            <color indexed="81"/>
            <rFont val="Tahoma"/>
            <family val="2"/>
          </rPr>
          <t xml:space="preserve">
See Note 1</t>
        </r>
      </text>
    </comment>
    <comment ref="B15" authorId="0">
      <text>
        <r>
          <rPr>
            <b/>
            <sz val="9"/>
            <color indexed="81"/>
            <rFont val="Tahoma"/>
            <family val="2"/>
          </rPr>
          <t xml:space="preserve">IEC 62097:
</t>
        </r>
        <r>
          <rPr>
            <sz val="9"/>
            <color indexed="81"/>
            <rFont val="Tahoma"/>
            <family val="2"/>
          </rPr>
          <t>See Note 2</t>
        </r>
      </text>
    </comment>
    <comment ref="B20" authorId="0">
      <text>
        <r>
          <rPr>
            <b/>
            <sz val="9"/>
            <color indexed="81"/>
            <rFont val="Tahoma"/>
            <family val="2"/>
          </rPr>
          <t>IEC 62097:</t>
        </r>
        <r>
          <rPr>
            <sz val="9"/>
            <color indexed="81"/>
            <rFont val="Tahoma"/>
            <family val="2"/>
          </rPr>
          <t xml:space="preserve">
See Note 3</t>
        </r>
      </text>
    </comment>
    <comment ref="D22" authorId="0">
      <text>
        <r>
          <rPr>
            <b/>
            <sz val="9"/>
            <color indexed="81"/>
            <rFont val="Tahoma"/>
            <family val="2"/>
          </rPr>
          <t>IEC 62097:</t>
        </r>
        <r>
          <rPr>
            <sz val="9"/>
            <color indexed="81"/>
            <rFont val="Tahoma"/>
            <family val="2"/>
          </rPr>
          <t xml:space="preserve">
If </t>
        </r>
        <r>
          <rPr>
            <i/>
            <sz val="9"/>
            <color indexed="81"/>
            <rFont val="Tahoma"/>
            <family val="2"/>
          </rPr>
          <t>n</t>
        </r>
        <r>
          <rPr>
            <sz val="9"/>
            <color indexed="81"/>
            <rFont val="Tahoma"/>
            <family val="2"/>
          </rPr>
          <t xml:space="preserve"> is specified in "rpm", it shall be converted to "1/s".</t>
        </r>
      </text>
    </comment>
    <comment ref="I22" authorId="0">
      <text>
        <r>
          <rPr>
            <b/>
            <sz val="9"/>
            <color indexed="81"/>
            <rFont val="Tahoma"/>
            <family val="2"/>
          </rPr>
          <t>IEC 62097:</t>
        </r>
        <r>
          <rPr>
            <sz val="9"/>
            <color indexed="81"/>
            <rFont val="Tahoma"/>
            <family val="2"/>
          </rPr>
          <t xml:space="preserve">
If </t>
        </r>
        <r>
          <rPr>
            <i/>
            <sz val="9"/>
            <color indexed="81"/>
            <rFont val="Tahoma"/>
            <family val="2"/>
          </rPr>
          <t>n</t>
        </r>
        <r>
          <rPr>
            <sz val="9"/>
            <color indexed="81"/>
            <rFont val="Tahoma"/>
            <family val="2"/>
          </rPr>
          <t xml:space="preserve"> is specified in "rpm", it shall be converted to "1/s".</t>
        </r>
      </text>
    </comment>
    <comment ref="D32" authorId="1">
      <text>
        <r>
          <rPr>
            <b/>
            <sz val="9"/>
            <color indexed="81"/>
            <rFont val="Tahoma"/>
            <family val="2"/>
          </rPr>
          <t>IEC 62097:</t>
        </r>
        <r>
          <rPr>
            <sz val="9"/>
            <color indexed="81"/>
            <rFont val="Tahoma"/>
            <family val="2"/>
          </rPr>
          <t xml:space="preserve">
If </t>
        </r>
        <r>
          <rPr>
            <i/>
            <sz val="9"/>
            <color indexed="81"/>
            <rFont val="Tahoma"/>
            <family val="2"/>
          </rPr>
          <t>n</t>
        </r>
        <r>
          <rPr>
            <sz val="9"/>
            <color indexed="81"/>
            <rFont val="Tahoma"/>
            <family val="2"/>
          </rPr>
          <t xml:space="preserve"> is specified in "rpm", it shall be converted to "1/s".</t>
        </r>
      </text>
    </comment>
    <comment ref="B53" authorId="0">
      <text>
        <r>
          <rPr>
            <b/>
            <sz val="9"/>
            <color indexed="81"/>
            <rFont val="Tahoma"/>
            <family val="2"/>
          </rPr>
          <t>IEC 62097:</t>
        </r>
        <r>
          <rPr>
            <sz val="9"/>
            <color indexed="81"/>
            <rFont val="Tahoma"/>
            <family val="2"/>
          </rPr>
          <t xml:space="preserve">
See Note 7</t>
        </r>
      </text>
    </comment>
    <comment ref="B66" authorId="0">
      <text>
        <r>
          <rPr>
            <b/>
            <sz val="9"/>
            <color indexed="81"/>
            <rFont val="Tahoma"/>
            <family val="2"/>
          </rPr>
          <t xml:space="preserve">IEC 62097:
</t>
        </r>
        <r>
          <rPr>
            <sz val="9"/>
            <color indexed="81"/>
            <rFont val="Tahoma"/>
            <family val="2"/>
          </rPr>
          <t>See Note 7</t>
        </r>
      </text>
    </comment>
    <comment ref="B79" authorId="0">
      <text>
        <r>
          <rPr>
            <b/>
            <sz val="9"/>
            <color indexed="81"/>
            <rFont val="Tahoma"/>
            <family val="2"/>
          </rPr>
          <t>IEC 62097:</t>
        </r>
        <r>
          <rPr>
            <sz val="9"/>
            <color indexed="81"/>
            <rFont val="Tahoma"/>
            <family val="2"/>
          </rPr>
          <t xml:space="preserve">
See Note 2</t>
        </r>
      </text>
    </comment>
    <comment ref="I85" authorId="1">
      <text>
        <r>
          <rPr>
            <b/>
            <sz val="9"/>
            <color indexed="81"/>
            <rFont val="Tahoma"/>
            <family val="2"/>
          </rPr>
          <t>IEC 62097:</t>
        </r>
        <r>
          <rPr>
            <sz val="9"/>
            <color indexed="81"/>
            <rFont val="Tahoma"/>
            <family val="2"/>
          </rPr>
          <t xml:space="preserve">
</t>
        </r>
        <r>
          <rPr>
            <sz val="11"/>
            <color indexed="81"/>
            <rFont val="Tahoma"/>
            <family val="2"/>
          </rPr>
          <t xml:space="preserve"> If </t>
        </r>
        <r>
          <rPr>
            <i/>
            <sz val="11"/>
            <color indexed="81"/>
            <rFont val="Tahoma"/>
            <family val="2"/>
          </rPr>
          <t>g</t>
        </r>
        <r>
          <rPr>
            <i/>
            <vertAlign val="subscript"/>
            <sz val="11"/>
            <color indexed="81"/>
            <rFont val="Tahoma"/>
            <family val="2"/>
          </rPr>
          <t>B</t>
        </r>
        <r>
          <rPr>
            <sz val="11"/>
            <color indexed="81"/>
            <rFont val="Tahoma"/>
            <family val="2"/>
          </rPr>
          <t xml:space="preserve"> is not known, it is possible to calculate it with the table on the righthand side</t>
        </r>
      </text>
    </comment>
    <comment ref="I87" authorId="1">
      <text>
        <r>
          <rPr>
            <b/>
            <sz val="9"/>
            <color indexed="81"/>
            <rFont val="Tahoma"/>
            <family val="2"/>
          </rPr>
          <t>IEC 62097:</t>
        </r>
        <r>
          <rPr>
            <sz val="9"/>
            <color indexed="81"/>
            <rFont val="Tahoma"/>
            <family val="2"/>
          </rPr>
          <t xml:space="preserve">
</t>
        </r>
        <r>
          <rPr>
            <sz val="12"/>
            <color indexed="81"/>
            <rFont val="Tahoma"/>
            <family val="2"/>
          </rPr>
          <t xml:space="preserve">If </t>
        </r>
        <r>
          <rPr>
            <sz val="12"/>
            <color indexed="81"/>
            <rFont val="Symbol"/>
            <family val="1"/>
            <charset val="2"/>
          </rPr>
          <t>r</t>
        </r>
        <r>
          <rPr>
            <i/>
            <vertAlign val="subscript"/>
            <sz val="12"/>
            <color indexed="81"/>
            <rFont val="Tahoma"/>
            <family val="2"/>
          </rPr>
          <t>B</t>
        </r>
        <r>
          <rPr>
            <sz val="12"/>
            <color indexed="81"/>
            <rFont val="Tahoma"/>
            <family val="2"/>
          </rPr>
          <t xml:space="preserve"> is not known, it is possible to calculate it with the table on the righthand side</t>
        </r>
      </text>
    </comment>
    <comment ref="B106" authorId="1">
      <text>
        <r>
          <rPr>
            <b/>
            <sz val="9"/>
            <color indexed="81"/>
            <rFont val="Tahoma"/>
            <family val="2"/>
          </rPr>
          <t xml:space="preserve">IEC 62097:
</t>
        </r>
        <r>
          <rPr>
            <sz val="9"/>
            <color indexed="81"/>
            <rFont val="Tahoma"/>
            <family val="2"/>
          </rPr>
          <t xml:space="preserve">See Note 7
</t>
        </r>
      </text>
    </comment>
  </commentList>
</comments>
</file>

<file path=xl/comments2.xml><?xml version="1.0" encoding="utf-8"?>
<comments xmlns="http://schemas.openxmlformats.org/spreadsheetml/2006/main">
  <authors>
    <author>IEC 62097- WG18</author>
    <author>Artner Wolfgang</author>
  </authors>
  <commentList>
    <comment ref="F64" authorId="0">
      <text>
        <r>
          <rPr>
            <b/>
            <sz val="9"/>
            <color indexed="81"/>
            <rFont val="Tahoma"/>
            <family val="2"/>
          </rPr>
          <t>IEC 62097:</t>
        </r>
        <r>
          <rPr>
            <sz val="9"/>
            <color indexed="81"/>
            <rFont val="Tahoma"/>
            <family val="2"/>
          </rPr>
          <t xml:space="preserve">
see Note 1</t>
        </r>
      </text>
    </comment>
    <comment ref="F69" authorId="1">
      <text>
        <r>
          <rPr>
            <b/>
            <sz val="9"/>
            <color indexed="81"/>
            <rFont val="Tahoma"/>
            <family val="2"/>
          </rPr>
          <t xml:space="preserve">IEC 62097:
</t>
        </r>
        <r>
          <rPr>
            <sz val="9"/>
            <color indexed="81"/>
            <rFont val="Tahoma"/>
            <family val="2"/>
          </rPr>
          <t>see Note 1</t>
        </r>
      </text>
    </comment>
    <comment ref="F75" authorId="1">
      <text>
        <r>
          <rPr>
            <b/>
            <sz val="9"/>
            <color indexed="81"/>
            <rFont val="Tahoma"/>
            <family val="2"/>
          </rPr>
          <t xml:space="preserve">IEC 62097:
</t>
        </r>
        <r>
          <rPr>
            <sz val="9"/>
            <color indexed="81"/>
            <rFont val="Tahoma"/>
            <family val="2"/>
          </rPr>
          <t>see Note 1</t>
        </r>
      </text>
    </comment>
    <comment ref="F80" authorId="1">
      <text>
        <r>
          <rPr>
            <b/>
            <sz val="9"/>
            <color indexed="81"/>
            <rFont val="Tahoma"/>
            <family val="2"/>
          </rPr>
          <t xml:space="preserve">IEC 62097:
</t>
        </r>
        <r>
          <rPr>
            <sz val="9"/>
            <color indexed="81"/>
            <rFont val="Tahoma"/>
            <family val="2"/>
          </rPr>
          <t>see Note 1</t>
        </r>
      </text>
    </comment>
  </commentList>
</comments>
</file>

<file path=xl/comments3.xml><?xml version="1.0" encoding="utf-8"?>
<comments xmlns="http://schemas.openxmlformats.org/spreadsheetml/2006/main">
  <authors>
    <author>IEC 62097- WG18</author>
    <author>Artner Wolfgang</author>
  </authors>
  <commentList>
    <comment ref="F59" authorId="0">
      <text>
        <r>
          <rPr>
            <b/>
            <sz val="9"/>
            <color indexed="81"/>
            <rFont val="Tahoma"/>
            <family val="2"/>
          </rPr>
          <t>IEC 62097:</t>
        </r>
        <r>
          <rPr>
            <sz val="9"/>
            <color indexed="81"/>
            <rFont val="Tahoma"/>
            <family val="2"/>
          </rPr>
          <t xml:space="preserve">
see Note 1</t>
        </r>
      </text>
    </comment>
    <comment ref="F64" authorId="1">
      <text>
        <r>
          <rPr>
            <b/>
            <sz val="9"/>
            <color indexed="81"/>
            <rFont val="Tahoma"/>
            <family val="2"/>
          </rPr>
          <t xml:space="preserve">IEC 62097:
</t>
        </r>
        <r>
          <rPr>
            <sz val="9"/>
            <color indexed="81"/>
            <rFont val="Tahoma"/>
            <family val="2"/>
          </rPr>
          <t>see Note 1</t>
        </r>
      </text>
    </comment>
    <comment ref="F70" authorId="1">
      <text>
        <r>
          <rPr>
            <b/>
            <sz val="9"/>
            <color indexed="81"/>
            <rFont val="Tahoma"/>
            <family val="2"/>
          </rPr>
          <t xml:space="preserve">IEC 62097:
</t>
        </r>
        <r>
          <rPr>
            <sz val="9"/>
            <color indexed="81"/>
            <rFont val="Tahoma"/>
            <family val="2"/>
          </rPr>
          <t>see Note 1</t>
        </r>
      </text>
    </comment>
  </commentList>
</comments>
</file>

<file path=xl/sharedStrings.xml><?xml version="1.0" encoding="utf-8"?>
<sst xmlns="http://schemas.openxmlformats.org/spreadsheetml/2006/main" count="1069" uniqueCount="522">
  <si>
    <t xml:space="preserve"> </t>
  </si>
  <si>
    <t>from Model to Prototype</t>
  </si>
  <si>
    <t>Attachment to IEC 62097 Ed. 2.0</t>
  </si>
  <si>
    <t>Notice</t>
  </si>
  <si>
    <t>This file constitutes an integral part of the standard "IEC 62097".</t>
  </si>
  <si>
    <t>Applicable Types of Machines</t>
  </si>
  <si>
    <t>Francis turbines</t>
  </si>
  <si>
    <t>Reversible pump-turbines (T)</t>
  </si>
  <si>
    <t>Reversible pump-turbines (P)</t>
  </si>
  <si>
    <t>Axial flow machines</t>
  </si>
  <si>
    <t>Disclaimer</t>
  </si>
  <si>
    <t>The IEC disclaims liability for any personal injury, property or other damages of any nature whatsoever, whether special, indirect, consequential or compensatory, directly or indirectly resulting from this software and the document upon which its methods are based, use of, or reliance upon".</t>
  </si>
  <si>
    <t>Copyright</t>
  </si>
  <si>
    <t xml:space="preserve">This program is subject to the same conditions of copyright as IEC publications.  Only the authorized subscribers of IEC 62097, Ed 2.0, are permitted to use this program for the evaluation of the scale effect of the hydraulic machines with which they are concerned.  </t>
  </si>
  <si>
    <t>Copying or reproduction of this publication in any form or for the use by unauthorized persons without written permission from IEC is strictly prohibited.</t>
  </si>
  <si>
    <t>Copyright  ©  2017</t>
  </si>
  <si>
    <t>IEC Central Office</t>
  </si>
  <si>
    <t>3, rue de Varembé</t>
  </si>
  <si>
    <t>P.O. Box 131</t>
  </si>
  <si>
    <t>CH - 1211 Geneva 20</t>
  </si>
  <si>
    <t>Switzerland</t>
  </si>
  <si>
    <t>1.1</t>
  </si>
  <si>
    <t>1.3</t>
  </si>
  <si>
    <t>2.1</t>
  </si>
  <si>
    <t>2.2</t>
  </si>
  <si>
    <t>Instructions</t>
  </si>
  <si>
    <t>Project :</t>
    <phoneticPr fontId="1"/>
  </si>
  <si>
    <t xml:space="preserve">       Date :</t>
    <phoneticPr fontId="1"/>
  </si>
  <si>
    <t>NOTE 1</t>
  </si>
  <si>
    <t>Preference of the purpose of calculation :</t>
  </si>
  <si>
    <t>Ic</t>
  </si>
  <si>
    <t xml:space="preserve">1.  </t>
  </si>
  <si>
    <r>
      <rPr>
        <b/>
        <sz val="11"/>
        <color theme="1"/>
        <rFont val="Arial"/>
        <family val="2"/>
      </rPr>
      <t>Turbine A</t>
    </r>
    <r>
      <rPr>
        <sz val="11"/>
        <color theme="1"/>
        <rFont val="Arial"/>
        <family val="2"/>
      </rPr>
      <t xml:space="preserve"> </t>
    </r>
  </si>
  <si>
    <t>1. Examples of seal geometry</t>
  </si>
  <si>
    <t>a) Crown side</t>
  </si>
  <si>
    <r>
      <t>I</t>
    </r>
    <r>
      <rPr>
        <b/>
        <vertAlign val="subscript"/>
        <sz val="11"/>
        <rFont val="Arial"/>
        <family val="2"/>
      </rPr>
      <t>T</t>
    </r>
  </si>
  <si>
    <t>1.2</t>
  </si>
  <si>
    <t>(mm)</t>
  </si>
  <si>
    <t>NOTE 2</t>
  </si>
  <si>
    <r>
      <t>(m</t>
    </r>
    <r>
      <rPr>
        <vertAlign val="superscript"/>
        <sz val="11"/>
        <rFont val="Arial"/>
        <family val="2"/>
      </rPr>
      <t>3</t>
    </r>
    <r>
      <rPr>
        <sz val="11"/>
        <rFont val="Arial"/>
        <family val="2"/>
      </rPr>
      <t>/s)</t>
    </r>
  </si>
  <si>
    <t>(J/kg)</t>
  </si>
  <si>
    <t>(%)</t>
  </si>
  <si>
    <t>(°C)</t>
  </si>
  <si>
    <t>=&gt;</t>
  </si>
  <si>
    <t>(-)</t>
  </si>
  <si>
    <t>Test data of the individual test point</t>
  </si>
  <si>
    <r>
      <rPr>
        <sz val="11"/>
        <rFont val="Calibri"/>
        <family val="2"/>
      </rPr>
      <t>(µ</t>
    </r>
    <r>
      <rPr>
        <sz val="11"/>
        <rFont val="Arial"/>
        <family val="2"/>
      </rPr>
      <t>m)</t>
    </r>
  </si>
  <si>
    <t>NOTE 3</t>
  </si>
  <si>
    <t xml:space="preserve">      Roughness for disc friction (runner)</t>
  </si>
  <si>
    <t xml:space="preserve">      Roughness for disc friction (stationary part)</t>
  </si>
  <si>
    <t xml:space="preserve">  Homologous seal</t>
    <phoneticPr fontId="1"/>
  </si>
  <si>
    <t>Crown side</t>
  </si>
  <si>
    <t xml:space="preserve">Outer seal </t>
  </si>
  <si>
    <t xml:space="preserve">Inner seal </t>
  </si>
  <si>
    <t>Dimension</t>
    <phoneticPr fontId="1"/>
  </si>
  <si>
    <t>Symbol</t>
  </si>
  <si>
    <t>Value (mm)</t>
  </si>
  <si>
    <t>Dimension</t>
  </si>
  <si>
    <t xml:space="preserve"> Clearance</t>
    <phoneticPr fontId="1"/>
  </si>
  <si>
    <t xml:space="preserve"> Radius</t>
    <phoneticPr fontId="1"/>
  </si>
  <si>
    <t>Seal length</t>
    <phoneticPr fontId="1"/>
  </si>
  <si>
    <t>Seal length</t>
  </si>
  <si>
    <t>Band side</t>
  </si>
  <si>
    <t>b) Band side</t>
  </si>
  <si>
    <t xml:space="preserve">2.  </t>
  </si>
  <si>
    <t>Turbine B</t>
  </si>
  <si>
    <t>2.1.1</t>
  </si>
  <si>
    <t xml:space="preserve">NOTE 6 </t>
  </si>
  <si>
    <t>2.1.2</t>
  </si>
  <si>
    <t>(° C)</t>
  </si>
  <si>
    <t>2.1.3</t>
  </si>
  <si>
    <t xml:space="preserve">NOTE 7 </t>
  </si>
  <si>
    <t xml:space="preserve">2.2  </t>
  </si>
  <si>
    <t>Roughness for disc friction (Runner)</t>
  </si>
  <si>
    <t>Roughness for disc friction (Stationary part)</t>
  </si>
  <si>
    <t xml:space="preserve">2.3 </t>
  </si>
  <si>
    <t>2.3.1</t>
  </si>
  <si>
    <t/>
  </si>
  <si>
    <t>2.3.2</t>
  </si>
  <si>
    <t>End of Input</t>
    <phoneticPr fontId="1"/>
  </si>
  <si>
    <t>: Values given in the standard</t>
  </si>
  <si>
    <t xml:space="preserve">        Date :</t>
  </si>
  <si>
    <r>
      <t>(m</t>
    </r>
    <r>
      <rPr>
        <vertAlign val="superscript"/>
        <sz val="11"/>
        <rFont val="Arial"/>
        <family val="2"/>
      </rPr>
      <t>2</t>
    </r>
    <r>
      <rPr>
        <sz val="11"/>
        <rFont val="Arial"/>
        <family val="2"/>
      </rPr>
      <t>/s)</t>
    </r>
  </si>
  <si>
    <t xml:space="preserve">2. </t>
  </si>
  <si>
    <t xml:space="preserve">   Project :</t>
  </si>
  <si>
    <t xml:space="preserve"> Ref. No. :</t>
  </si>
  <si>
    <t>Efficiency step-up ratio and step-up increment of hydraulic efficiency</t>
  </si>
  <si>
    <t>NOTES</t>
  </si>
  <si>
    <t xml:space="preserve">Step-up of Optimum Point </t>
  </si>
  <si>
    <t xml:space="preserve">Step-up of the individual test point </t>
  </si>
  <si>
    <t>: Data transferred from input form</t>
  </si>
  <si>
    <t>Project :</t>
  </si>
  <si>
    <t>Ref. No. :</t>
  </si>
  <si>
    <t>Date :</t>
  </si>
  <si>
    <t xml:space="preserve">1. </t>
  </si>
  <si>
    <t>Input data</t>
  </si>
  <si>
    <t>Turbine A</t>
  </si>
  <si>
    <t>1.1.1</t>
  </si>
  <si>
    <t>1.1.2</t>
  </si>
  <si>
    <t>Test results at the optimum point</t>
  </si>
  <si>
    <t>1.1.3</t>
  </si>
  <si>
    <r>
      <t>(s</t>
    </r>
    <r>
      <rPr>
        <vertAlign val="superscript"/>
        <sz val="11"/>
        <rFont val="Arial"/>
        <family val="2"/>
      </rPr>
      <t>-1</t>
    </r>
    <r>
      <rPr>
        <sz val="11"/>
        <rFont val="Arial"/>
        <family val="2"/>
      </rPr>
      <t>)</t>
    </r>
  </si>
  <si>
    <t>%</t>
  </si>
  <si>
    <t xml:space="preserve">     </t>
  </si>
  <si>
    <t>1.1.4.</t>
  </si>
  <si>
    <t>1.2.1</t>
  </si>
  <si>
    <t>1.2.2</t>
  </si>
  <si>
    <t xml:space="preserve">   </t>
  </si>
  <si>
    <t>1.2.3</t>
  </si>
  <si>
    <t>1.2.4</t>
  </si>
  <si>
    <t>Rouhgness data (Turbine B)</t>
  </si>
  <si>
    <t xml:space="preserve">3. </t>
  </si>
  <si>
    <t>Optimum point</t>
    <phoneticPr fontId="1"/>
  </si>
  <si>
    <t>Individual test point</t>
  </si>
  <si>
    <t>(m/s)</t>
  </si>
  <si>
    <t xml:space="preserve">4. </t>
  </si>
  <si>
    <t xml:space="preserve">Calculation of the relative roughness  </t>
  </si>
  <si>
    <t>SP</t>
  </si>
  <si>
    <t>SV</t>
  </si>
  <si>
    <t>RU</t>
  </si>
  <si>
    <t>DT</t>
  </si>
  <si>
    <t xml:space="preserve">5. </t>
  </si>
  <si>
    <t xml:space="preserve">6. </t>
  </si>
  <si>
    <t xml:space="preserve">7. </t>
  </si>
  <si>
    <t xml:space="preserve">8. </t>
  </si>
  <si>
    <t>Ic</t>
    <phoneticPr fontId="1"/>
  </si>
  <si>
    <t>1. Input Data</t>
  </si>
  <si>
    <r>
      <t>(</t>
    </r>
    <r>
      <rPr>
        <sz val="11"/>
        <rFont val="Symbol"/>
        <family val="1"/>
        <charset val="2"/>
      </rPr>
      <t>m</t>
    </r>
    <r>
      <rPr>
        <sz val="11"/>
        <rFont val="Arial"/>
        <family val="2"/>
      </rPr>
      <t>m)</t>
    </r>
  </si>
  <si>
    <t xml:space="preserve"> </t>
    <phoneticPr fontId="1"/>
  </si>
  <si>
    <t xml:space="preserve">   </t>
    <phoneticPr fontId="1"/>
  </si>
  <si>
    <t>Correction of volumetric efficiency for non-homologous seal</t>
  </si>
  <si>
    <t xml:space="preserve"> Homologous seal</t>
    <phoneticPr fontId="1"/>
  </si>
  <si>
    <t xml:space="preserve"> Dimension</t>
    <phoneticPr fontId="1"/>
  </si>
  <si>
    <t xml:space="preserve"> Symbol</t>
    <phoneticPr fontId="1"/>
  </si>
  <si>
    <t xml:space="preserve"> Value (mm)</t>
    <phoneticPr fontId="1"/>
  </si>
  <si>
    <t xml:space="preserve"> Seal length</t>
    <phoneticPr fontId="1"/>
  </si>
  <si>
    <t>2.</t>
  </si>
  <si>
    <t xml:space="preserve">Calculation of loss coefficient of the seal </t>
  </si>
  <si>
    <t>Calculation of loss coefficient of the seal of turbine A</t>
  </si>
  <si>
    <t>Total for Turbine A</t>
  </si>
  <si>
    <t>Calculaton of Loss Coefficient of the Seal of turbine B</t>
  </si>
  <si>
    <t>2.2.1</t>
  </si>
  <si>
    <t>2.2.2</t>
  </si>
  <si>
    <t>2.2.3</t>
  </si>
  <si>
    <t>Total for Turbine B</t>
  </si>
  <si>
    <t>3.</t>
  </si>
  <si>
    <r>
      <t>Calculaton of Δ</t>
    </r>
    <r>
      <rPr>
        <b/>
        <vertAlign val="subscript"/>
        <sz val="11"/>
        <rFont val="Arial"/>
        <family val="2"/>
      </rPr>
      <t>QA-&gt;B</t>
    </r>
    <r>
      <rPr>
        <b/>
        <sz val="11"/>
        <rFont val="Arial"/>
        <family val="2"/>
      </rPr>
      <t xml:space="preserve"> </t>
    </r>
    <r>
      <rPr>
        <b/>
        <strike/>
        <sz val="11"/>
        <rFont val="Arial"/>
        <family val="2"/>
      </rPr>
      <t/>
    </r>
  </si>
  <si>
    <t xml:space="preserve">  </t>
    <phoneticPr fontId="1"/>
  </si>
  <si>
    <r>
      <t>Calculation of Q</t>
    </r>
    <r>
      <rPr>
        <b/>
        <vertAlign val="subscript"/>
        <sz val="11"/>
        <rFont val="Arial"/>
        <family val="2"/>
      </rPr>
      <t>1B</t>
    </r>
  </si>
  <si>
    <r>
      <t>(m/s</t>
    </r>
    <r>
      <rPr>
        <vertAlign val="superscript"/>
        <sz val="11"/>
        <rFont val="Arial"/>
        <family val="2"/>
      </rPr>
      <t>2</t>
    </r>
    <r>
      <rPr>
        <sz val="11"/>
        <rFont val="Arial"/>
        <family val="2"/>
      </rPr>
      <t>)</t>
    </r>
  </si>
  <si>
    <t>(m)</t>
    <phoneticPr fontId="1"/>
  </si>
  <si>
    <t>(Pa)</t>
    <phoneticPr fontId="1"/>
  </si>
  <si>
    <r>
      <t>(kg/m</t>
    </r>
    <r>
      <rPr>
        <vertAlign val="superscript"/>
        <sz val="11"/>
        <rFont val="Arial"/>
        <family val="2"/>
      </rPr>
      <t>3</t>
    </r>
    <r>
      <rPr>
        <sz val="11"/>
        <rFont val="Arial"/>
        <family val="2"/>
      </rPr>
      <t>)</t>
    </r>
  </si>
  <si>
    <t>(°)</t>
  </si>
  <si>
    <t>Elevation of turbine centre line</t>
  </si>
  <si>
    <t xml:space="preserve">Average water levels in the reservoirs </t>
  </si>
  <si>
    <t xml:space="preserve">Ambient pressure and absolute water pressure at inlet and outlet sections </t>
  </si>
  <si>
    <t>Density of water at site (average of inlet and outlet of the machine)</t>
  </si>
  <si>
    <t>Calculated acceleration of gravity at site</t>
  </si>
  <si>
    <t>Yellow cells shall be filled with required input Data</t>
  </si>
  <si>
    <t>Input data sheet for conversion of PERFORMANCE</t>
  </si>
  <si>
    <t xml:space="preserve">      Roughness of component passages.</t>
  </si>
  <si>
    <t>NOTE 4</t>
  </si>
  <si>
    <t>NOTE 8</t>
  </si>
  <si>
    <t xml:space="preserve"> Upper water level (U.W.L.)</t>
  </si>
  <si>
    <t xml:space="preserve"> Lower water level (L.W.L)</t>
  </si>
  <si>
    <t>Rated speed</t>
  </si>
  <si>
    <t>Scalable losses and leakage losses defined in the code:</t>
  </si>
  <si>
    <t>(1/s)</t>
  </si>
  <si>
    <t>In case of double regulated machines, the data of the maximum efficiency point on on-cam characterisitics shall be adopted.</t>
  </si>
  <si>
    <t>"Optimum point" is defined as the maximum efficiency point in the hill diagram for turbine or pump operation of the model.
Depending on the machine type, it might be out of the operating range of the prototype operation.</t>
  </si>
  <si>
    <t>Latitude</t>
  </si>
  <si>
    <t>Radial machines</t>
  </si>
  <si>
    <r>
      <t>Minimum Ra value (</t>
    </r>
    <r>
      <rPr>
        <sz val="11"/>
        <rFont val="Arial"/>
        <family val="2"/>
      </rPr>
      <t>µm) for</t>
    </r>
  </si>
  <si>
    <t>0 to 850</t>
  </si>
  <si>
    <t>850 to 1400</t>
  </si>
  <si>
    <t>1400 to 3000</t>
  </si>
  <si>
    <t>3000 to 8000</t>
  </si>
  <si>
    <t>&gt; 2000</t>
  </si>
  <si>
    <t>Axial Machines</t>
  </si>
  <si>
    <t>0 to 130</t>
  </si>
  <si>
    <t>130 to 300</t>
  </si>
  <si>
    <t>300 to 600</t>
  </si>
  <si>
    <t>&gt;300</t>
  </si>
  <si>
    <r>
      <rPr>
        <b/>
        <sz val="11"/>
        <color theme="1"/>
        <rFont val="Calibri"/>
        <family val="2"/>
      </rPr>
      <t>≤</t>
    </r>
    <r>
      <rPr>
        <b/>
        <sz val="11"/>
        <color theme="1"/>
        <rFont val="Arial"/>
        <family val="2"/>
      </rPr>
      <t xml:space="preserve"> 2000</t>
    </r>
  </si>
  <si>
    <r>
      <rPr>
        <b/>
        <sz val="11"/>
        <rFont val="Calibri"/>
        <family val="2"/>
      </rPr>
      <t>≥</t>
    </r>
    <r>
      <rPr>
        <b/>
        <sz val="11"/>
        <rFont val="Arial"/>
        <family val="2"/>
      </rPr>
      <t>8000</t>
    </r>
  </si>
  <si>
    <r>
      <rPr>
        <b/>
        <sz val="11"/>
        <rFont val="Calibri"/>
        <family val="2"/>
      </rPr>
      <t>≥</t>
    </r>
    <r>
      <rPr>
        <b/>
        <sz val="11"/>
        <rFont val="Arial"/>
        <family val="2"/>
      </rPr>
      <t xml:space="preserve"> 600</t>
    </r>
  </si>
  <si>
    <r>
      <rPr>
        <b/>
        <sz val="11"/>
        <color theme="1"/>
        <rFont val="Calibri"/>
        <family val="2"/>
      </rPr>
      <t>≤</t>
    </r>
    <r>
      <rPr>
        <b/>
        <sz val="11"/>
        <color theme="1"/>
        <rFont val="Arial"/>
        <family val="2"/>
      </rPr>
      <t xml:space="preserve"> 300</t>
    </r>
  </si>
  <si>
    <t>Rated speed &amp; Reynolds number</t>
  </si>
  <si>
    <t>General data</t>
  </si>
  <si>
    <t>Purpose of calculation</t>
  </si>
  <si>
    <t>Type of machine</t>
  </si>
  <si>
    <t>1.3.1</t>
  </si>
  <si>
    <t>1.3.2</t>
  </si>
  <si>
    <t>Reference Diameter</t>
  </si>
  <si>
    <t>Test data of optimum point</t>
  </si>
  <si>
    <t>Runner seal geometry for Turbine A</t>
  </si>
  <si>
    <t>Surface roughness for Turbine A</t>
  </si>
  <si>
    <t>Surface roughness for Turbine B</t>
  </si>
  <si>
    <t xml:space="preserve"> Runner seal geometry for Turbine B</t>
  </si>
  <si>
    <t>NOTE 5</t>
  </si>
  <si>
    <r>
      <t xml:space="preserve">In case of axial flow machines, the roughness values marked by </t>
    </r>
    <r>
      <rPr>
        <vertAlign val="superscript"/>
        <sz val="10"/>
        <rFont val="Arial"/>
        <family val="2"/>
      </rPr>
      <t>a</t>
    </r>
    <r>
      <rPr>
        <sz val="10"/>
        <rFont val="Arial"/>
        <family val="2"/>
      </rPr>
      <t xml:space="preserve"> are not required. </t>
    </r>
    <r>
      <rPr>
        <i/>
        <sz val="10"/>
        <rFont val="Arial"/>
        <family val="2"/>
      </rPr>
      <t>Ra</t>
    </r>
    <r>
      <rPr>
        <vertAlign val="subscript"/>
        <sz val="10"/>
        <rFont val="Arial"/>
        <family val="2"/>
      </rPr>
      <t>STA</t>
    </r>
    <r>
      <rPr>
        <sz val="10"/>
        <rFont val="Arial"/>
        <family val="2"/>
      </rPr>
      <t xml:space="preserve"> is automaticaly calculated from </t>
    </r>
    <r>
      <rPr>
        <i/>
        <sz val="10"/>
        <rFont val="Arial"/>
        <family val="2"/>
      </rPr>
      <t>Ra</t>
    </r>
    <r>
      <rPr>
        <vertAlign val="subscript"/>
        <sz val="10"/>
        <rFont val="Arial"/>
        <family val="2"/>
      </rPr>
      <t>SVA</t>
    </r>
    <r>
      <rPr>
        <sz val="10"/>
        <rFont val="Arial"/>
        <family val="2"/>
      </rPr>
      <t xml:space="preserve"> and </t>
    </r>
    <r>
      <rPr>
        <i/>
        <sz val="10"/>
        <rFont val="Arial"/>
        <family val="2"/>
      </rPr>
      <t>Ra</t>
    </r>
    <r>
      <rPr>
        <vertAlign val="subscript"/>
        <sz val="10"/>
        <rFont val="Arial"/>
        <family val="2"/>
      </rPr>
      <t>GVA.</t>
    </r>
    <r>
      <rPr>
        <sz val="10"/>
        <rFont val="Arial"/>
        <family val="2"/>
      </rPr>
      <t xml:space="preserve">
</t>
    </r>
    <r>
      <rPr>
        <i/>
        <sz val="10"/>
        <rFont val="Arial"/>
        <family val="2"/>
      </rPr>
      <t>Ra</t>
    </r>
    <r>
      <rPr>
        <vertAlign val="subscript"/>
        <sz val="10"/>
        <rFont val="Arial"/>
        <family val="2"/>
      </rPr>
      <t>TA</t>
    </r>
    <r>
      <rPr>
        <sz val="10"/>
        <rFont val="Arial"/>
        <family val="2"/>
      </rPr>
      <t xml:space="preserve"> is obtained as a weighted mean of the roughness values on both sides of the runner (</t>
    </r>
    <r>
      <rPr>
        <i/>
        <sz val="10"/>
        <rFont val="Arial"/>
        <family val="2"/>
      </rPr>
      <t>Ra</t>
    </r>
    <r>
      <rPr>
        <vertAlign val="subscript"/>
        <sz val="10"/>
        <rFont val="Arial"/>
        <family val="2"/>
      </rPr>
      <t>TRA</t>
    </r>
    <r>
      <rPr>
        <sz val="10"/>
        <rFont val="Arial"/>
        <family val="2"/>
      </rPr>
      <t>) and stationary part (</t>
    </r>
    <r>
      <rPr>
        <i/>
        <sz val="10"/>
        <rFont val="Arial"/>
        <family val="2"/>
      </rPr>
      <t>Ra</t>
    </r>
    <r>
      <rPr>
        <vertAlign val="subscript"/>
        <sz val="10"/>
        <rFont val="Arial"/>
        <family val="2"/>
      </rPr>
      <t>TSA</t>
    </r>
    <r>
      <rPr>
        <sz val="10"/>
        <rFont val="Arial"/>
        <family val="2"/>
      </rPr>
      <t xml:space="preserve">).
</t>
    </r>
  </si>
  <si>
    <t>In case of axial flow machines, seal geometry data given in the following cells are disregarded.</t>
  </si>
  <si>
    <r>
      <t xml:space="preserve">In case of axial flow machines, those marked by </t>
    </r>
    <r>
      <rPr>
        <vertAlign val="superscript"/>
        <sz val="9"/>
        <rFont val="Arial"/>
        <family val="2"/>
      </rPr>
      <t>a</t>
    </r>
    <r>
      <rPr>
        <sz val="9"/>
        <rFont val="Arial"/>
        <family val="2"/>
      </rPr>
      <t xml:space="preserve"> are not required. If anything is given, it will be disregarded.
</t>
    </r>
    <r>
      <rPr>
        <i/>
        <sz val="9"/>
        <rFont val="Arial"/>
        <family val="2"/>
      </rPr>
      <t>Ra</t>
    </r>
    <r>
      <rPr>
        <vertAlign val="subscript"/>
        <sz val="9"/>
        <rFont val="Arial"/>
        <family val="2"/>
      </rPr>
      <t>TSB</t>
    </r>
    <r>
      <rPr>
        <sz val="9"/>
        <rFont val="Arial"/>
        <family val="2"/>
      </rPr>
      <t xml:space="preserve"> is automaticaly calculated from </t>
    </r>
    <r>
      <rPr>
        <i/>
        <sz val="9"/>
        <rFont val="Arial"/>
        <family val="2"/>
      </rPr>
      <t>Ra</t>
    </r>
    <r>
      <rPr>
        <vertAlign val="subscript"/>
        <sz val="9"/>
        <rFont val="Arial"/>
        <family val="2"/>
      </rPr>
      <t>SVB</t>
    </r>
    <r>
      <rPr>
        <sz val="9"/>
        <rFont val="Arial"/>
        <family val="2"/>
      </rPr>
      <t xml:space="preserve"> and </t>
    </r>
    <r>
      <rPr>
        <i/>
        <sz val="9"/>
        <rFont val="Arial"/>
        <family val="2"/>
      </rPr>
      <t>Ra</t>
    </r>
    <r>
      <rPr>
        <vertAlign val="subscript"/>
        <sz val="9"/>
        <rFont val="Arial"/>
        <family val="2"/>
      </rPr>
      <t>GVB</t>
    </r>
    <r>
      <rPr>
        <sz val="9"/>
        <rFont val="Arial"/>
        <family val="2"/>
      </rPr>
      <t xml:space="preserve">.
</t>
    </r>
    <r>
      <rPr>
        <i/>
        <sz val="9"/>
        <rFont val="Arial"/>
        <family val="2"/>
      </rPr>
      <t>Ra</t>
    </r>
    <r>
      <rPr>
        <vertAlign val="subscript"/>
        <sz val="9"/>
        <rFont val="Arial"/>
        <family val="2"/>
      </rPr>
      <t>TB</t>
    </r>
    <r>
      <rPr>
        <sz val="9"/>
        <rFont val="Arial"/>
        <family val="2"/>
      </rPr>
      <t xml:space="preserve"> is obtained as a weighted mean of the roughness values on both sides of the runner (</t>
    </r>
    <r>
      <rPr>
        <i/>
        <sz val="9"/>
        <rFont val="Arial"/>
        <family val="2"/>
      </rPr>
      <t>Ra</t>
    </r>
    <r>
      <rPr>
        <vertAlign val="subscript"/>
        <sz val="9"/>
        <rFont val="Arial"/>
        <family val="2"/>
      </rPr>
      <t>TRB</t>
    </r>
    <r>
      <rPr>
        <sz val="9"/>
        <rFont val="Arial"/>
        <family val="2"/>
      </rPr>
      <t>) and stationary part (</t>
    </r>
    <r>
      <rPr>
        <i/>
        <sz val="9"/>
        <rFont val="Arial"/>
        <family val="2"/>
      </rPr>
      <t>Ra</t>
    </r>
    <r>
      <rPr>
        <vertAlign val="subscript"/>
        <sz val="9"/>
        <rFont val="Arial"/>
        <family val="2"/>
      </rPr>
      <t>TSB</t>
    </r>
    <r>
      <rPr>
        <sz val="9"/>
        <rFont val="Arial"/>
        <family val="2"/>
      </rPr>
      <t>).</t>
    </r>
  </si>
  <si>
    <t xml:space="preserve">Roughness of component passages </t>
  </si>
  <si>
    <r>
      <rPr>
        <i/>
        <sz val="11"/>
        <rFont val="Arial"/>
        <family val="2"/>
      </rPr>
      <t>n</t>
    </r>
    <r>
      <rPr>
        <vertAlign val="subscript"/>
        <sz val="11"/>
        <rFont val="Arial"/>
        <family val="2"/>
      </rPr>
      <t>B</t>
    </r>
    <r>
      <rPr>
        <sz val="11"/>
        <rFont val="Arial"/>
        <family val="2"/>
      </rPr>
      <t xml:space="preserve"> </t>
    </r>
  </si>
  <si>
    <r>
      <rPr>
        <i/>
        <sz val="11"/>
        <rFont val="Arial"/>
        <family val="2"/>
      </rPr>
      <t>Re</t>
    </r>
    <r>
      <rPr>
        <vertAlign val="subscript"/>
        <sz val="11"/>
        <rFont val="Arial"/>
        <family val="2"/>
      </rPr>
      <t>B</t>
    </r>
  </si>
  <si>
    <r>
      <rPr>
        <i/>
        <sz val="11"/>
        <rFont val="Arial"/>
        <family val="2"/>
      </rPr>
      <t>t</t>
    </r>
    <r>
      <rPr>
        <vertAlign val="subscript"/>
        <sz val="11"/>
        <rFont val="Arial"/>
        <family val="2"/>
      </rPr>
      <t>WB</t>
    </r>
  </si>
  <si>
    <r>
      <t xml:space="preserve">For the definition of the dimensional parameters for seal geometry, refer to the diagrams shown on the right.
Radii </t>
    </r>
    <r>
      <rPr>
        <i/>
        <sz val="10"/>
        <rFont val="Arial"/>
        <family val="2"/>
      </rPr>
      <t>R</t>
    </r>
    <r>
      <rPr>
        <sz val="10"/>
        <rFont val="Arial"/>
        <family val="2"/>
      </rPr>
      <t xml:space="preserve">ij and length </t>
    </r>
    <r>
      <rPr>
        <i/>
        <sz val="10"/>
        <rFont val="Arial"/>
        <family val="2"/>
      </rPr>
      <t>L</t>
    </r>
    <r>
      <rPr>
        <sz val="10"/>
        <rFont val="Arial"/>
        <family val="2"/>
      </rPr>
      <t xml:space="preserve">ij in the tables should be given for each cylindrical seal part divided by any groove or step. This Excel sheet can not deal with the case when the number of such seal parts exceeds 4; namely, j &gt; 4.
This calculation format assumes that the radial seal clearance is one single value ci common for one group of seals.  If not, modify the equation appropriately.
</t>
    </r>
  </si>
  <si>
    <t>At STEP 1:</t>
  </si>
  <si>
    <t>(1/s (Hz)</t>
  </si>
  <si>
    <t>Imposed value (mm)</t>
  </si>
  <si>
    <t>2.3.1.1</t>
  </si>
  <si>
    <t>2.3.1.2</t>
  </si>
  <si>
    <t>2.3.2.1</t>
  </si>
  <si>
    <t>2.3.2.2</t>
  </si>
  <si>
    <t>1.3.1.1</t>
  </si>
  <si>
    <t>1.3.1.2</t>
  </si>
  <si>
    <t>1.3.2.2</t>
  </si>
  <si>
    <t>1.3.2.1</t>
  </si>
  <si>
    <t>Water temperature</t>
  </si>
  <si>
    <r>
      <t xml:space="preserve"> In turbine operation: </t>
    </r>
    <r>
      <rPr>
        <i/>
        <sz val="10"/>
        <rFont val="Arial"/>
        <family val="2"/>
      </rPr>
      <t>E</t>
    </r>
    <r>
      <rPr>
        <vertAlign val="subscript"/>
        <sz val="10"/>
        <rFont val="Arial"/>
        <family val="2"/>
      </rPr>
      <t>B</t>
    </r>
    <r>
      <rPr>
        <sz val="10"/>
        <rFont val="Arial"/>
        <family val="2"/>
      </rPr>
      <t>=</t>
    </r>
    <r>
      <rPr>
        <i/>
        <sz val="10"/>
        <rFont val="Arial"/>
        <family val="2"/>
      </rPr>
      <t>E</t>
    </r>
    <r>
      <rPr>
        <vertAlign val="subscript"/>
        <sz val="10"/>
        <rFont val="Arial"/>
        <family val="2"/>
      </rPr>
      <t xml:space="preserve">Ai </t>
    </r>
    <r>
      <rPr>
        <sz val="10"/>
        <rFont val="Arial"/>
        <family val="2"/>
      </rPr>
      <t>(</t>
    </r>
    <r>
      <rPr>
        <i/>
        <sz val="10"/>
        <rFont val="Arial"/>
        <family val="2"/>
      </rPr>
      <t>n</t>
    </r>
    <r>
      <rPr>
        <vertAlign val="subscript"/>
        <sz val="10"/>
        <rFont val="Arial"/>
        <family val="2"/>
      </rPr>
      <t>B</t>
    </r>
    <r>
      <rPr>
        <sz val="10"/>
        <rFont val="Arial"/>
        <family val="2"/>
      </rPr>
      <t>/</t>
    </r>
    <r>
      <rPr>
        <i/>
        <sz val="10"/>
        <rFont val="Arial"/>
        <family val="2"/>
      </rPr>
      <t>n</t>
    </r>
    <r>
      <rPr>
        <vertAlign val="subscript"/>
        <sz val="10"/>
        <rFont val="Arial"/>
        <family val="2"/>
      </rPr>
      <t>Ai</t>
    </r>
    <r>
      <rPr>
        <sz val="10"/>
        <rFont val="Arial"/>
        <family val="2"/>
      </rPr>
      <t>)</t>
    </r>
    <r>
      <rPr>
        <vertAlign val="superscript"/>
        <sz val="10"/>
        <rFont val="Arial"/>
        <family val="2"/>
      </rPr>
      <t xml:space="preserve">2 </t>
    </r>
    <r>
      <rPr>
        <sz val="10"/>
        <rFont val="Arial"/>
        <family val="2"/>
      </rPr>
      <t>(</t>
    </r>
    <r>
      <rPr>
        <i/>
        <sz val="10"/>
        <rFont val="Arial"/>
        <family val="2"/>
      </rPr>
      <t>D</t>
    </r>
    <r>
      <rPr>
        <vertAlign val="subscript"/>
        <sz val="10"/>
        <rFont val="Arial"/>
        <family val="2"/>
      </rPr>
      <t>B</t>
    </r>
    <r>
      <rPr>
        <sz val="10"/>
        <rFont val="Arial"/>
        <family val="2"/>
      </rPr>
      <t>/</t>
    </r>
    <r>
      <rPr>
        <i/>
        <sz val="10"/>
        <rFont val="Arial"/>
        <family val="2"/>
      </rPr>
      <t>D</t>
    </r>
    <r>
      <rPr>
        <vertAlign val="subscript"/>
        <sz val="10"/>
        <rFont val="Arial"/>
        <family val="2"/>
      </rPr>
      <t>A</t>
    </r>
    <r>
      <rPr>
        <sz val="10"/>
        <rFont val="Arial"/>
        <family val="2"/>
      </rPr>
      <t>)</t>
    </r>
    <r>
      <rPr>
        <vertAlign val="superscript"/>
        <sz val="10"/>
        <rFont val="Arial"/>
        <family val="2"/>
      </rPr>
      <t xml:space="preserve">2 </t>
    </r>
    <r>
      <rPr>
        <sz val="10"/>
        <rFont val="Arial"/>
        <family val="2"/>
      </rPr>
      <t>/ (1+</t>
    </r>
    <r>
      <rPr>
        <i/>
        <sz val="10"/>
        <rFont val="Calibri"/>
        <family val="2"/>
      </rPr>
      <t>Δ</t>
    </r>
    <r>
      <rPr>
        <vertAlign val="subscript"/>
        <sz val="10"/>
        <rFont val="Arial"/>
        <family val="2"/>
      </rPr>
      <t>EA-&gt;Bi</t>
    </r>
    <r>
      <rPr>
        <sz val="10"/>
        <rFont val="Arial"/>
        <family val="2"/>
      </rPr>
      <t>)</t>
    </r>
  </si>
  <si>
    <r>
      <t xml:space="preserve"> In pump operation :  </t>
    </r>
    <r>
      <rPr>
        <i/>
        <sz val="10"/>
        <rFont val="Arial"/>
        <family val="2"/>
      </rPr>
      <t>E</t>
    </r>
    <r>
      <rPr>
        <vertAlign val="subscript"/>
        <sz val="10"/>
        <rFont val="Arial"/>
        <family val="2"/>
      </rPr>
      <t>B</t>
    </r>
    <r>
      <rPr>
        <sz val="10"/>
        <rFont val="Arial"/>
        <family val="2"/>
      </rPr>
      <t>=</t>
    </r>
    <r>
      <rPr>
        <i/>
        <sz val="10"/>
        <rFont val="Arial"/>
        <family val="2"/>
      </rPr>
      <t>E</t>
    </r>
    <r>
      <rPr>
        <vertAlign val="subscript"/>
        <sz val="10"/>
        <rFont val="Arial"/>
        <family val="2"/>
      </rPr>
      <t xml:space="preserve">ai </t>
    </r>
    <r>
      <rPr>
        <sz val="10"/>
        <rFont val="Arial"/>
        <family val="2"/>
      </rPr>
      <t>(</t>
    </r>
    <r>
      <rPr>
        <i/>
        <sz val="10"/>
        <rFont val="Arial"/>
        <family val="2"/>
      </rPr>
      <t>n</t>
    </r>
    <r>
      <rPr>
        <vertAlign val="subscript"/>
        <sz val="10"/>
        <rFont val="Arial"/>
        <family val="2"/>
      </rPr>
      <t>B</t>
    </r>
    <r>
      <rPr>
        <sz val="10"/>
        <rFont val="Arial"/>
        <family val="2"/>
      </rPr>
      <t>/</t>
    </r>
    <r>
      <rPr>
        <i/>
        <sz val="10"/>
        <rFont val="Arial"/>
        <family val="2"/>
      </rPr>
      <t>n</t>
    </r>
    <r>
      <rPr>
        <vertAlign val="subscript"/>
        <sz val="10"/>
        <rFont val="Arial"/>
        <family val="2"/>
      </rPr>
      <t>Ai</t>
    </r>
    <r>
      <rPr>
        <sz val="10"/>
        <rFont val="Arial"/>
        <family val="2"/>
      </rPr>
      <t>)</t>
    </r>
    <r>
      <rPr>
        <vertAlign val="superscript"/>
        <sz val="10"/>
        <rFont val="Arial"/>
        <family val="2"/>
      </rPr>
      <t xml:space="preserve">2 </t>
    </r>
    <r>
      <rPr>
        <sz val="10"/>
        <rFont val="Arial"/>
        <family val="2"/>
      </rPr>
      <t>(</t>
    </r>
    <r>
      <rPr>
        <i/>
        <sz val="10"/>
        <rFont val="Arial"/>
        <family val="2"/>
      </rPr>
      <t>D</t>
    </r>
    <r>
      <rPr>
        <vertAlign val="subscript"/>
        <sz val="10"/>
        <rFont val="Arial"/>
        <family val="2"/>
      </rPr>
      <t>B</t>
    </r>
    <r>
      <rPr>
        <sz val="10"/>
        <rFont val="Arial"/>
        <family val="2"/>
      </rPr>
      <t>/</t>
    </r>
    <r>
      <rPr>
        <i/>
        <sz val="10"/>
        <rFont val="Arial"/>
        <family val="2"/>
      </rPr>
      <t>D</t>
    </r>
    <r>
      <rPr>
        <vertAlign val="subscript"/>
        <sz val="10"/>
        <rFont val="Arial"/>
        <family val="2"/>
      </rPr>
      <t>A</t>
    </r>
    <r>
      <rPr>
        <sz val="10"/>
        <rFont val="Arial"/>
        <family val="2"/>
      </rPr>
      <t>)</t>
    </r>
    <r>
      <rPr>
        <vertAlign val="superscript"/>
        <sz val="10"/>
        <rFont val="Arial"/>
        <family val="2"/>
      </rPr>
      <t xml:space="preserve">2 </t>
    </r>
    <r>
      <rPr>
        <sz val="10"/>
        <rFont val="Arial"/>
        <family val="2"/>
      </rPr>
      <t>(1+</t>
    </r>
    <r>
      <rPr>
        <i/>
        <sz val="10"/>
        <rFont val="Calibri"/>
        <family val="2"/>
      </rPr>
      <t>Δ</t>
    </r>
    <r>
      <rPr>
        <vertAlign val="subscript"/>
        <sz val="10"/>
        <rFont val="Arial"/>
        <family val="2"/>
      </rPr>
      <t>EA-&gt;Bi</t>
    </r>
    <r>
      <rPr>
        <sz val="10"/>
        <rFont val="Arial"/>
        <family val="2"/>
      </rPr>
      <t>)</t>
    </r>
  </si>
  <si>
    <r>
      <t xml:space="preserve">Calculation of </t>
    </r>
    <r>
      <rPr>
        <b/>
        <i/>
        <sz val="11"/>
        <rFont val="Arial"/>
        <family val="2"/>
      </rPr>
      <t>Δ</t>
    </r>
    <r>
      <rPr>
        <b/>
        <vertAlign val="subscript"/>
        <sz val="11"/>
        <rFont val="Arial"/>
        <family val="2"/>
      </rPr>
      <t>ECO</t>
    </r>
    <r>
      <rPr>
        <b/>
        <sz val="11"/>
        <rFont val="Arial"/>
        <family val="2"/>
      </rPr>
      <t xml:space="preserve"> and </t>
    </r>
    <r>
      <rPr>
        <b/>
        <i/>
        <sz val="11"/>
        <rFont val="Arial"/>
        <family val="2"/>
      </rPr>
      <t>Δ</t>
    </r>
    <r>
      <rPr>
        <b/>
        <vertAlign val="subscript"/>
        <sz val="11"/>
        <rFont val="Arial"/>
        <family val="2"/>
      </rPr>
      <t>E</t>
    </r>
    <r>
      <rPr>
        <b/>
        <sz val="11"/>
        <rFont val="Arial"/>
        <family val="2"/>
      </rPr>
      <t xml:space="preserve">  for optimum point</t>
    </r>
  </si>
  <si>
    <r>
      <t xml:space="preserve">Calculation of </t>
    </r>
    <r>
      <rPr>
        <b/>
        <i/>
        <sz val="11"/>
        <rFont val="Arial"/>
        <family val="2"/>
      </rPr>
      <t>Δ</t>
    </r>
    <r>
      <rPr>
        <b/>
        <vertAlign val="subscript"/>
        <sz val="11"/>
        <rFont val="Arial"/>
        <family val="2"/>
      </rPr>
      <t>ECO</t>
    </r>
    <r>
      <rPr>
        <b/>
        <sz val="11"/>
        <rFont val="Arial"/>
        <family val="2"/>
      </rPr>
      <t xml:space="preserve"> and </t>
    </r>
    <r>
      <rPr>
        <b/>
        <i/>
        <sz val="11"/>
        <rFont val="Arial"/>
        <family val="2"/>
      </rPr>
      <t>Δ</t>
    </r>
    <r>
      <rPr>
        <b/>
        <vertAlign val="subscript"/>
        <sz val="11"/>
        <rFont val="Arial"/>
        <family val="2"/>
      </rPr>
      <t>E</t>
    </r>
    <r>
      <rPr>
        <b/>
        <sz val="11"/>
        <rFont val="Arial"/>
        <family val="2"/>
      </rPr>
      <t xml:space="preserve">  for individual test point</t>
    </r>
  </si>
  <si>
    <r>
      <t xml:space="preserve">Calculation of </t>
    </r>
    <r>
      <rPr>
        <b/>
        <i/>
        <sz val="11"/>
        <rFont val="Arial"/>
        <family val="2"/>
      </rPr>
      <t>E</t>
    </r>
    <r>
      <rPr>
        <b/>
        <vertAlign val="subscript"/>
        <sz val="11"/>
        <rFont val="Arial"/>
        <family val="2"/>
      </rPr>
      <t>Bi</t>
    </r>
    <r>
      <rPr>
        <b/>
        <sz val="11"/>
        <rFont val="Arial"/>
        <family val="2"/>
      </rPr>
      <t xml:space="preserve"> and </t>
    </r>
    <r>
      <rPr>
        <b/>
        <i/>
        <sz val="11"/>
        <rFont val="Arial"/>
        <family val="2"/>
      </rPr>
      <t>E</t>
    </r>
    <r>
      <rPr>
        <b/>
        <vertAlign val="subscript"/>
        <sz val="11"/>
        <rFont val="Arial"/>
        <family val="2"/>
      </rPr>
      <t>Bopt</t>
    </r>
  </si>
  <si>
    <r>
      <t xml:space="preserve">Calculation of </t>
    </r>
    <r>
      <rPr>
        <b/>
        <i/>
        <sz val="11"/>
        <rFont val="Arial"/>
        <family val="2"/>
      </rPr>
      <t>d</t>
    </r>
    <r>
      <rPr>
        <b/>
        <vertAlign val="subscript"/>
        <sz val="11"/>
        <rFont val="Arial"/>
        <family val="2"/>
      </rPr>
      <t>ECOref</t>
    </r>
    <r>
      <rPr>
        <b/>
        <sz val="11"/>
        <rFont val="Arial"/>
        <family val="2"/>
      </rPr>
      <t xml:space="preserve"> and </t>
    </r>
    <r>
      <rPr>
        <b/>
        <i/>
        <sz val="11"/>
        <rFont val="Arial"/>
        <family val="2"/>
      </rPr>
      <t>κ</t>
    </r>
    <r>
      <rPr>
        <b/>
        <vertAlign val="subscript"/>
        <sz val="11"/>
        <rFont val="Arial"/>
        <family val="2"/>
      </rPr>
      <t>uCO</t>
    </r>
    <r>
      <rPr>
        <b/>
        <sz val="11"/>
        <rFont val="Arial"/>
        <family val="2"/>
      </rPr>
      <t xml:space="preserve">  </t>
    </r>
  </si>
  <si>
    <t>Calculation of specific speed</t>
  </si>
  <si>
    <t>Calculation of Reynolds numbers for both Turbine A and Turbine B</t>
  </si>
  <si>
    <t>Reference dimension</t>
  </si>
  <si>
    <t>Roughness data (Turbine A)</t>
  </si>
  <si>
    <r>
      <rPr>
        <b/>
        <i/>
        <sz val="11"/>
        <rFont val="Arial"/>
        <family val="2"/>
      </rPr>
      <t>N</t>
    </r>
    <r>
      <rPr>
        <b/>
        <vertAlign val="subscript"/>
        <sz val="11"/>
        <rFont val="Arial"/>
        <family val="2"/>
      </rPr>
      <t>QE</t>
    </r>
  </si>
  <si>
    <t>Geometrical data</t>
  </si>
  <si>
    <r>
      <t xml:space="preserve"> Diameter, </t>
    </r>
    <r>
      <rPr>
        <i/>
        <sz val="11"/>
        <rFont val="Arial"/>
        <family val="2"/>
      </rPr>
      <t>D</t>
    </r>
    <r>
      <rPr>
        <vertAlign val="subscript"/>
        <sz val="11"/>
        <rFont val="Arial"/>
        <family val="2"/>
      </rPr>
      <t>A</t>
    </r>
  </si>
  <si>
    <r>
      <t xml:space="preserve"> Diameter, </t>
    </r>
    <r>
      <rPr>
        <i/>
        <sz val="11"/>
        <rFont val="Arial"/>
        <family val="2"/>
      </rPr>
      <t>D</t>
    </r>
    <r>
      <rPr>
        <vertAlign val="subscript"/>
        <sz val="11"/>
        <rFont val="Arial"/>
        <family val="2"/>
      </rPr>
      <t>B</t>
    </r>
  </si>
  <si>
    <t>1.1.2.1</t>
  </si>
  <si>
    <r>
      <t xml:space="preserve">2. Calculation of </t>
    </r>
    <r>
      <rPr>
        <b/>
        <i/>
        <sz val="14"/>
        <rFont val="Arial"/>
        <family val="2"/>
      </rPr>
      <t>Δ</t>
    </r>
    <r>
      <rPr>
        <b/>
        <vertAlign val="subscript"/>
        <sz val="11"/>
        <rFont val="Arial"/>
        <family val="2"/>
      </rPr>
      <t>T</t>
    </r>
    <r>
      <rPr>
        <b/>
        <sz val="11"/>
        <rFont val="Arial"/>
        <family val="2"/>
      </rPr>
      <t xml:space="preserve"> </t>
    </r>
  </si>
  <si>
    <t>1.1.2.2</t>
  </si>
  <si>
    <t>1.1.3.1</t>
  </si>
  <si>
    <t>1.1.3.2</t>
  </si>
  <si>
    <t>1.2.2.1</t>
  </si>
  <si>
    <t>1.2.2.2</t>
  </si>
  <si>
    <t>1.2.3.1</t>
  </si>
  <si>
    <t>1.2.3.2</t>
  </si>
  <si>
    <t>2.1.1.1</t>
  </si>
  <si>
    <t>2.1.1.2</t>
  </si>
  <si>
    <t>2.1.2.1</t>
  </si>
  <si>
    <t>2.1.2.2</t>
  </si>
  <si>
    <t>2.2.2.1</t>
  </si>
  <si>
    <t>2.2.2.2</t>
  </si>
  <si>
    <t>2.2.1.1</t>
  </si>
  <si>
    <t>2.2.1.2</t>
  </si>
  <si>
    <r>
      <t xml:space="preserve">Minimum </t>
    </r>
    <r>
      <rPr>
        <i/>
        <sz val="11"/>
        <color theme="1"/>
        <rFont val="Arial"/>
        <family val="2"/>
      </rPr>
      <t xml:space="preserve">Ra </t>
    </r>
    <r>
      <rPr>
        <sz val="11"/>
        <color theme="1"/>
        <rFont val="Arial"/>
        <family val="2"/>
      </rPr>
      <t>value (</t>
    </r>
    <r>
      <rPr>
        <sz val="11"/>
        <rFont val="Arial"/>
        <family val="2"/>
      </rPr>
      <t>µm) for</t>
    </r>
  </si>
  <si>
    <r>
      <t xml:space="preserve">Specific Hydraulic Energy ranges, </t>
    </r>
    <r>
      <rPr>
        <b/>
        <i/>
        <sz val="11"/>
        <color theme="1"/>
        <rFont val="Arial"/>
        <family val="2"/>
      </rPr>
      <t>E</t>
    </r>
    <r>
      <rPr>
        <b/>
        <sz val="11"/>
        <color theme="1"/>
        <rFont val="Arial"/>
        <family val="2"/>
      </rPr>
      <t xml:space="preserve"> (J/kg)</t>
    </r>
  </si>
  <si>
    <r>
      <t xml:space="preserve">Specific Hydraulic Energy, </t>
    </r>
    <r>
      <rPr>
        <b/>
        <i/>
        <sz val="11"/>
        <color theme="1"/>
        <rFont val="Arial"/>
        <family val="2"/>
      </rPr>
      <t>E</t>
    </r>
    <r>
      <rPr>
        <b/>
        <sz val="11"/>
        <color theme="1"/>
        <rFont val="Arial"/>
        <family val="2"/>
      </rPr>
      <t xml:space="preserve"> (J/kg)</t>
    </r>
  </si>
  <si>
    <r>
      <t xml:space="preserve">Minimum </t>
    </r>
    <r>
      <rPr>
        <i/>
        <sz val="11"/>
        <color theme="1"/>
        <rFont val="Arial"/>
        <family val="2"/>
      </rPr>
      <t>Ra</t>
    </r>
    <r>
      <rPr>
        <sz val="11"/>
        <color theme="1"/>
        <rFont val="Arial"/>
        <family val="2"/>
      </rPr>
      <t xml:space="preserve"> value (</t>
    </r>
    <r>
      <rPr>
        <sz val="11"/>
        <rFont val="Arial"/>
        <family val="2"/>
      </rPr>
      <t>µm) for</t>
    </r>
  </si>
  <si>
    <r>
      <rPr>
        <i/>
        <sz val="11"/>
        <color theme="1"/>
        <rFont val="Arial"/>
        <family val="2"/>
      </rPr>
      <t>Ra</t>
    </r>
    <r>
      <rPr>
        <vertAlign val="subscript"/>
        <sz val="11"/>
        <color theme="1"/>
        <rFont val="Arial"/>
        <family val="2"/>
      </rPr>
      <t>SP</t>
    </r>
  </si>
  <si>
    <r>
      <rPr>
        <i/>
        <sz val="11"/>
        <color theme="1"/>
        <rFont val="Arial"/>
        <family val="2"/>
      </rPr>
      <t>Ra</t>
    </r>
    <r>
      <rPr>
        <vertAlign val="subscript"/>
        <sz val="11"/>
        <color theme="1"/>
        <rFont val="Arial"/>
        <family val="2"/>
      </rPr>
      <t>SV</t>
    </r>
  </si>
  <si>
    <r>
      <rPr>
        <i/>
        <sz val="11"/>
        <color theme="1"/>
        <rFont val="Arial"/>
        <family val="2"/>
      </rPr>
      <t>Ra</t>
    </r>
    <r>
      <rPr>
        <vertAlign val="subscript"/>
        <sz val="11"/>
        <color theme="1"/>
        <rFont val="Arial"/>
        <family val="2"/>
      </rPr>
      <t>GV</t>
    </r>
  </si>
  <si>
    <r>
      <rPr>
        <i/>
        <sz val="11"/>
        <color theme="1"/>
        <rFont val="Arial"/>
        <family val="2"/>
      </rPr>
      <t>Ra</t>
    </r>
    <r>
      <rPr>
        <vertAlign val="subscript"/>
        <sz val="11"/>
        <color theme="1"/>
        <rFont val="Arial"/>
        <family val="2"/>
      </rPr>
      <t>RU</t>
    </r>
  </si>
  <si>
    <r>
      <rPr>
        <i/>
        <sz val="11"/>
        <color theme="1"/>
        <rFont val="Arial"/>
        <family val="2"/>
      </rPr>
      <t>Ra</t>
    </r>
    <r>
      <rPr>
        <vertAlign val="subscript"/>
        <sz val="11"/>
        <color theme="1"/>
        <rFont val="Arial"/>
        <family val="2"/>
      </rPr>
      <t>DT</t>
    </r>
  </si>
  <si>
    <r>
      <rPr>
        <i/>
        <sz val="11"/>
        <color theme="1"/>
        <rFont val="Arial"/>
        <family val="2"/>
      </rPr>
      <t>Ra</t>
    </r>
    <r>
      <rPr>
        <vertAlign val="subscript"/>
        <sz val="11"/>
        <color theme="1"/>
        <rFont val="Arial"/>
        <family val="2"/>
      </rPr>
      <t>TR</t>
    </r>
  </si>
  <si>
    <r>
      <rPr>
        <i/>
        <sz val="11"/>
        <color theme="1"/>
        <rFont val="Arial"/>
        <family val="2"/>
      </rPr>
      <t>Ra</t>
    </r>
    <r>
      <rPr>
        <vertAlign val="subscript"/>
        <sz val="11"/>
        <color theme="1"/>
        <rFont val="Arial"/>
        <family val="2"/>
      </rPr>
      <t>TS</t>
    </r>
  </si>
  <si>
    <r>
      <rPr>
        <i/>
        <sz val="11"/>
        <color theme="1"/>
        <rFont val="Arial"/>
        <family val="2"/>
      </rPr>
      <t>Ra</t>
    </r>
    <r>
      <rPr>
        <i/>
        <vertAlign val="subscript"/>
        <sz val="11"/>
        <color theme="1"/>
        <rFont val="Arial"/>
        <family val="2"/>
      </rPr>
      <t>S</t>
    </r>
    <r>
      <rPr>
        <vertAlign val="subscript"/>
        <sz val="11"/>
        <color theme="1"/>
        <rFont val="Arial"/>
        <family val="2"/>
      </rPr>
      <t>V</t>
    </r>
  </si>
  <si>
    <t>Is the prototype turbine seal geometry is fully homologous to the model turbine seal geometry  ? Y or N ?</t>
  </si>
  <si>
    <t>Input the name of the project, the date of the calculation and a reference number into the corresponding yellow cells.</t>
  </si>
  <si>
    <t>For the second step: Turbine A = Reference Model and  Turbine B = Prototype.</t>
  </si>
  <si>
    <t xml:space="preserve">For the first step of the method: Turbine A = Tested Model
and Turbine B = Reference Model.
</t>
  </si>
  <si>
    <r>
      <rPr>
        <i/>
        <sz val="11"/>
        <color rgb="FFFF0000"/>
        <rFont val="Arial"/>
        <family val="2"/>
      </rPr>
      <t>g</t>
    </r>
    <r>
      <rPr>
        <vertAlign val="subscript"/>
        <sz val="11"/>
        <color rgb="FFFF0000"/>
        <rFont val="Arial"/>
        <family val="2"/>
      </rPr>
      <t>P</t>
    </r>
    <r>
      <rPr>
        <sz val="11"/>
        <color rgb="FFFF0000"/>
        <rFont val="Arial"/>
        <family val="2"/>
      </rPr>
      <t xml:space="preserve"> or </t>
    </r>
    <r>
      <rPr>
        <i/>
        <sz val="11"/>
        <color rgb="FFFF0000"/>
        <rFont val="Arial"/>
        <family val="2"/>
      </rPr>
      <t>ρ</t>
    </r>
    <r>
      <rPr>
        <vertAlign val="subscript"/>
        <sz val="11"/>
        <color rgb="FFFF0000"/>
        <rFont val="Arial"/>
        <family val="2"/>
      </rPr>
      <t>P</t>
    </r>
    <r>
      <rPr>
        <sz val="11"/>
        <color rgb="FFFF0000"/>
        <rFont val="Arial"/>
        <family val="2"/>
      </rPr>
      <t xml:space="preserve"> can be calculated by filling the corresponding input cells
(See calculation below).</t>
    </r>
  </si>
  <si>
    <t>Maximum recommended prototype roughness (as per Tables 3 and 5)</t>
  </si>
  <si>
    <t>Minimum recommended prototype roughness (as per Table 4 and 6)</t>
  </si>
  <si>
    <t>GV/ST</t>
  </si>
  <si>
    <t>Loss Coeff.:</t>
  </si>
  <si>
    <t xml:space="preserve"> In turbine operation:</t>
  </si>
  <si>
    <t xml:space="preserve"> In pump operation:</t>
  </si>
  <si>
    <t xml:space="preserve">In case of homologous seals, these data for runner seal geometry are automatically calculated from the dimensions of the model seals. </t>
  </si>
  <si>
    <r>
      <t>NOTE 3</t>
    </r>
    <r>
      <rPr>
        <sz val="10"/>
        <color rgb="FF000000"/>
        <rFont val="Arial"/>
        <family val="2"/>
      </rPr>
      <t xml:space="preserve"> </t>
    </r>
  </si>
  <si>
    <t>It is assumed in this standard that volumetric efficiency of the model is 0,99 constant for all radial flow machines (see Annex G.2).</t>
  </si>
  <si>
    <t>See Annex G for the detail of the correction of volumetric efficiency for non-homologous seal geometry.</t>
  </si>
  <si>
    <t xml:space="preserve">The column "GV/ST" shows the data for GV (guide vanes) in case of Francis and pump-turbines.
In case of axial flow machines, it shows the data for ST (stationary part).
dECOref  and kuCO are given by the code as functions of NQE. </t>
  </si>
  <si>
    <t>intermediate calc.</t>
  </si>
  <si>
    <r>
      <t>*(L</t>
    </r>
    <r>
      <rPr>
        <vertAlign val="subscript"/>
        <sz val="11"/>
        <rFont val="Arial"/>
        <family val="2"/>
      </rPr>
      <t xml:space="preserve">ij </t>
    </r>
    <r>
      <rPr>
        <sz val="11"/>
        <rFont val="Arial"/>
        <family val="2"/>
      </rPr>
      <t>/2c</t>
    </r>
    <r>
      <rPr>
        <vertAlign val="subscript"/>
        <sz val="11"/>
        <rFont val="Arial"/>
        <family val="2"/>
      </rPr>
      <t>i</t>
    </r>
    <r>
      <rPr>
        <sz val="11"/>
        <rFont val="Arial"/>
        <family val="2"/>
      </rPr>
      <t>)</t>
    </r>
  </si>
  <si>
    <r>
      <t xml:space="preserve">Scalable spec. hyd. energy loss, </t>
    </r>
    <r>
      <rPr>
        <b/>
        <sz val="14"/>
        <rFont val="Cambria"/>
        <family val="1"/>
        <scheme val="major"/>
      </rPr>
      <t>δ</t>
    </r>
    <r>
      <rPr>
        <b/>
        <vertAlign val="subscript"/>
        <sz val="14"/>
        <rFont val="Arial"/>
        <family val="2"/>
      </rPr>
      <t>Eref</t>
    </r>
  </si>
  <si>
    <r>
      <t>Scalable disk friction loss,</t>
    </r>
    <r>
      <rPr>
        <b/>
        <sz val="14"/>
        <rFont val="Arial"/>
        <family val="2"/>
      </rPr>
      <t xml:space="preserve"> </t>
    </r>
    <r>
      <rPr>
        <b/>
        <i/>
        <sz val="14"/>
        <rFont val="Cambria"/>
        <family val="1"/>
        <scheme val="major"/>
      </rPr>
      <t>δ</t>
    </r>
    <r>
      <rPr>
        <b/>
        <vertAlign val="subscript"/>
        <sz val="14"/>
        <rFont val="Arial"/>
        <family val="2"/>
      </rPr>
      <t xml:space="preserve">Tref </t>
    </r>
  </si>
  <si>
    <r>
      <t xml:space="preserve">  </t>
    </r>
    <r>
      <rPr>
        <i/>
        <sz val="11"/>
        <rFont val="Arial"/>
        <family val="2"/>
      </rPr>
      <t>D</t>
    </r>
    <r>
      <rPr>
        <vertAlign val="subscript"/>
        <sz val="11"/>
        <rFont val="Arial"/>
        <family val="2"/>
      </rPr>
      <t>ref</t>
    </r>
  </si>
  <si>
    <t>Results of transposition calculation</t>
  </si>
  <si>
    <t>Transposition of specific hydraulic energy efficiency</t>
  </si>
  <si>
    <t>Transposition of power (torque) efficiency</t>
  </si>
  <si>
    <t>Transposition Procedures of Hydraulic Machine Performances</t>
  </si>
  <si>
    <t xml:space="preserve">Roughness data </t>
  </si>
  <si>
    <t>Calculation of Reynolds numbers for both Turbines</t>
  </si>
  <si>
    <t>Rouhgness data</t>
  </si>
  <si>
    <t>N</t>
  </si>
  <si>
    <r>
      <t xml:space="preserve"> </t>
    </r>
    <r>
      <rPr>
        <i/>
        <sz val="13"/>
        <rFont val="Arial"/>
        <family val="2"/>
      </rPr>
      <t xml:space="preserve"> Re</t>
    </r>
    <r>
      <rPr>
        <vertAlign val="subscript"/>
        <sz val="13"/>
        <rFont val="Arial"/>
        <family val="2"/>
      </rPr>
      <t xml:space="preserve">B </t>
    </r>
    <r>
      <rPr>
        <sz val="13"/>
        <rFont val="Arial"/>
        <family val="2"/>
      </rPr>
      <t xml:space="preserve"> </t>
    </r>
  </si>
  <si>
    <r>
      <rPr>
        <i/>
        <sz val="13"/>
        <rFont val="Arial"/>
        <family val="2"/>
      </rPr>
      <t xml:space="preserve">  Δ</t>
    </r>
    <r>
      <rPr>
        <vertAlign val="subscript"/>
        <sz val="13"/>
        <rFont val="Arial"/>
        <family val="2"/>
      </rPr>
      <t>EA-&gt;Bi</t>
    </r>
  </si>
  <si>
    <r>
      <t xml:space="preserve"> </t>
    </r>
    <r>
      <rPr>
        <i/>
        <sz val="13"/>
        <rFont val="Arial"/>
        <family val="2"/>
      </rPr>
      <t xml:space="preserve"> Δ</t>
    </r>
    <r>
      <rPr>
        <vertAlign val="subscript"/>
        <sz val="13"/>
        <rFont val="Arial"/>
        <family val="2"/>
      </rPr>
      <t>QA-&gt;Bi</t>
    </r>
  </si>
  <si>
    <r>
      <t xml:space="preserve"> </t>
    </r>
    <r>
      <rPr>
        <i/>
        <sz val="13"/>
        <rFont val="Arial"/>
        <family val="2"/>
      </rPr>
      <t xml:space="preserve"> Δ</t>
    </r>
    <r>
      <rPr>
        <vertAlign val="subscript"/>
        <sz val="13"/>
        <rFont val="Arial"/>
        <family val="2"/>
      </rPr>
      <t>TA-&gt;Bi</t>
    </r>
  </si>
  <si>
    <r>
      <t xml:space="preserve">  </t>
    </r>
    <r>
      <rPr>
        <i/>
        <sz val="13"/>
        <rFont val="Arial"/>
        <family val="2"/>
      </rPr>
      <t>N</t>
    </r>
    <r>
      <rPr>
        <vertAlign val="subscript"/>
        <sz val="13"/>
        <rFont val="Arial"/>
        <family val="2"/>
      </rPr>
      <t>QE</t>
    </r>
  </si>
  <si>
    <r>
      <t xml:space="preserve">  </t>
    </r>
    <r>
      <rPr>
        <i/>
        <sz val="13"/>
        <rFont val="Arial"/>
        <family val="2"/>
      </rPr>
      <t>D</t>
    </r>
    <r>
      <rPr>
        <vertAlign val="subscript"/>
        <sz val="13"/>
        <rFont val="Arial"/>
        <family val="2"/>
      </rPr>
      <t>B</t>
    </r>
    <r>
      <rPr>
        <sz val="13"/>
        <rFont val="Arial"/>
        <family val="2"/>
      </rPr>
      <t xml:space="preserve">          (mm)</t>
    </r>
  </si>
  <si>
    <r>
      <t xml:space="preserve">  </t>
    </r>
    <r>
      <rPr>
        <i/>
        <sz val="13"/>
        <rFont val="Arial"/>
        <family val="2"/>
      </rPr>
      <t>n</t>
    </r>
    <r>
      <rPr>
        <vertAlign val="subscript"/>
        <sz val="13"/>
        <rFont val="Arial"/>
        <family val="2"/>
      </rPr>
      <t>B</t>
    </r>
    <r>
      <rPr>
        <sz val="13"/>
        <rFont val="Arial"/>
        <family val="2"/>
      </rPr>
      <t xml:space="preserve">             (Hz)</t>
    </r>
  </si>
  <si>
    <r>
      <t xml:space="preserve">  </t>
    </r>
    <r>
      <rPr>
        <i/>
        <sz val="13"/>
        <rFont val="Arial"/>
        <family val="2"/>
      </rPr>
      <t>E</t>
    </r>
    <r>
      <rPr>
        <vertAlign val="subscript"/>
        <sz val="13"/>
        <rFont val="Arial"/>
        <family val="2"/>
      </rPr>
      <t>B opt</t>
    </r>
    <r>
      <rPr>
        <sz val="13"/>
        <rFont val="Arial"/>
        <family val="2"/>
      </rPr>
      <t xml:space="preserve">      (J/kg)</t>
    </r>
  </si>
  <si>
    <r>
      <t xml:space="preserve">   </t>
    </r>
    <r>
      <rPr>
        <i/>
        <sz val="13"/>
        <rFont val="Arial"/>
        <family val="2"/>
      </rPr>
      <t>P</t>
    </r>
    <r>
      <rPr>
        <vertAlign val="subscript"/>
        <sz val="13"/>
        <rFont val="Arial"/>
        <family val="2"/>
      </rPr>
      <t>mB opt</t>
    </r>
    <r>
      <rPr>
        <sz val="13"/>
        <rFont val="Arial"/>
        <family val="2"/>
      </rPr>
      <t xml:space="preserve">    (kW)</t>
    </r>
  </si>
  <si>
    <r>
      <t xml:space="preserve">  </t>
    </r>
    <r>
      <rPr>
        <i/>
        <sz val="13"/>
        <rFont val="Arial"/>
        <family val="2"/>
      </rPr>
      <t>Δ</t>
    </r>
    <r>
      <rPr>
        <vertAlign val="subscript"/>
        <sz val="13"/>
        <rFont val="Arial"/>
        <family val="2"/>
      </rPr>
      <t>EA-&gt;B opt</t>
    </r>
  </si>
  <si>
    <r>
      <t xml:space="preserve">  </t>
    </r>
    <r>
      <rPr>
        <i/>
        <sz val="13"/>
        <rFont val="Arial"/>
        <family val="2"/>
      </rPr>
      <t>Δ</t>
    </r>
    <r>
      <rPr>
        <vertAlign val="subscript"/>
        <sz val="13"/>
        <rFont val="Arial"/>
        <family val="2"/>
      </rPr>
      <t>QA-&gt;B opt</t>
    </r>
  </si>
  <si>
    <r>
      <t xml:space="preserve">  </t>
    </r>
    <r>
      <rPr>
        <i/>
        <sz val="13"/>
        <rFont val="Arial"/>
        <family val="2"/>
      </rPr>
      <t>Δ</t>
    </r>
    <r>
      <rPr>
        <vertAlign val="subscript"/>
        <sz val="13"/>
        <rFont val="Arial"/>
        <family val="2"/>
      </rPr>
      <t>TA-&gt;B opt</t>
    </r>
  </si>
  <si>
    <r>
      <t xml:space="preserve">  </t>
    </r>
    <r>
      <rPr>
        <i/>
        <sz val="13"/>
        <rFont val="Arial"/>
        <family val="2"/>
      </rPr>
      <t>Q</t>
    </r>
    <r>
      <rPr>
        <vertAlign val="subscript"/>
        <sz val="13"/>
        <rFont val="Arial"/>
        <family val="2"/>
      </rPr>
      <t>1B opt</t>
    </r>
    <r>
      <rPr>
        <sz val="13"/>
        <rFont val="Arial"/>
        <family val="2"/>
      </rPr>
      <t xml:space="preserve">    (m</t>
    </r>
    <r>
      <rPr>
        <vertAlign val="superscript"/>
        <sz val="13"/>
        <rFont val="Arial"/>
        <family val="2"/>
      </rPr>
      <t>3</t>
    </r>
    <r>
      <rPr>
        <sz val="13"/>
        <rFont val="Arial"/>
        <family val="2"/>
      </rPr>
      <t>/s)</t>
    </r>
  </si>
  <si>
    <r>
      <t xml:space="preserve">  </t>
    </r>
    <r>
      <rPr>
        <i/>
        <sz val="13"/>
        <rFont val="Arial"/>
        <family val="2"/>
      </rPr>
      <t>Δη</t>
    </r>
    <r>
      <rPr>
        <vertAlign val="subscript"/>
        <sz val="13"/>
        <rFont val="Arial"/>
        <family val="2"/>
      </rPr>
      <t>hB opt</t>
    </r>
    <r>
      <rPr>
        <sz val="13"/>
        <rFont val="Arial"/>
        <family val="2"/>
      </rPr>
      <t xml:space="preserve">      (%)</t>
    </r>
  </si>
  <si>
    <r>
      <t xml:space="preserve">  </t>
    </r>
    <r>
      <rPr>
        <i/>
        <sz val="13"/>
        <rFont val="Cambria"/>
        <family val="1"/>
        <scheme val="major"/>
      </rPr>
      <t>ν</t>
    </r>
    <r>
      <rPr>
        <vertAlign val="subscript"/>
        <sz val="13"/>
        <rFont val="Arial"/>
        <family val="2"/>
      </rPr>
      <t xml:space="preserve">B          </t>
    </r>
    <r>
      <rPr>
        <sz val="13"/>
        <rFont val="Arial"/>
        <family val="2"/>
      </rPr>
      <t>(m</t>
    </r>
    <r>
      <rPr>
        <vertAlign val="superscript"/>
        <sz val="13"/>
        <rFont val="Arial"/>
        <family val="2"/>
      </rPr>
      <t>2</t>
    </r>
    <r>
      <rPr>
        <sz val="13"/>
        <rFont val="Arial"/>
        <family val="2"/>
      </rPr>
      <t>/s)</t>
    </r>
  </si>
  <si>
    <r>
      <t xml:space="preserve">  </t>
    </r>
    <r>
      <rPr>
        <i/>
        <sz val="13"/>
        <rFont val="Arial"/>
        <family val="2"/>
      </rPr>
      <t>ρ</t>
    </r>
    <r>
      <rPr>
        <vertAlign val="subscript"/>
        <sz val="13"/>
        <rFont val="Arial"/>
        <family val="2"/>
      </rPr>
      <t>B</t>
    </r>
    <r>
      <rPr>
        <sz val="13"/>
        <rFont val="Arial"/>
        <family val="2"/>
      </rPr>
      <t xml:space="preserve">     (kg/m</t>
    </r>
    <r>
      <rPr>
        <vertAlign val="superscript"/>
        <sz val="13"/>
        <rFont val="Arial"/>
        <family val="2"/>
      </rPr>
      <t>3</t>
    </r>
    <r>
      <rPr>
        <sz val="13"/>
        <rFont val="Arial"/>
        <family val="2"/>
      </rPr>
      <t>)</t>
    </r>
  </si>
  <si>
    <r>
      <rPr>
        <i/>
        <sz val="13"/>
        <color rgb="FF000000"/>
        <rFont val="Arial"/>
        <family val="2"/>
      </rPr>
      <t>ρ</t>
    </r>
    <r>
      <rPr>
        <vertAlign val="subscript"/>
        <sz val="13"/>
        <color rgb="FF000000"/>
        <rFont val="Arial"/>
        <family val="2"/>
      </rPr>
      <t>M*</t>
    </r>
    <r>
      <rPr>
        <sz val="13"/>
        <color rgb="FF000000"/>
        <rFont val="Arial"/>
        <family val="2"/>
      </rPr>
      <t xml:space="preserve"> is calculated by assuming the following conditions. 
</t>
    </r>
    <r>
      <rPr>
        <i/>
        <sz val="13"/>
        <color rgb="FF000000"/>
        <rFont val="Arial"/>
        <family val="2"/>
      </rPr>
      <t>p</t>
    </r>
    <r>
      <rPr>
        <vertAlign val="subscript"/>
        <sz val="13"/>
        <color rgb="FF000000"/>
        <rFont val="Arial"/>
        <family val="2"/>
      </rPr>
      <t>ambM*</t>
    </r>
    <r>
      <rPr>
        <sz val="13"/>
        <color rgb="FF000000"/>
        <rFont val="Arial"/>
        <family val="2"/>
      </rPr>
      <t xml:space="preserve"> = 101 325  Pa and </t>
    </r>
    <r>
      <rPr>
        <i/>
        <sz val="13"/>
        <color rgb="FF000000"/>
        <rFont val="Arial"/>
        <family val="2"/>
      </rPr>
      <t>p</t>
    </r>
    <r>
      <rPr>
        <vertAlign val="subscript"/>
        <sz val="13"/>
        <color rgb="FF000000"/>
        <rFont val="Arial"/>
        <family val="2"/>
      </rPr>
      <t>absM*</t>
    </r>
    <r>
      <rPr>
        <sz val="13"/>
        <color rgb="FF000000"/>
        <rFont val="Arial"/>
        <family val="2"/>
      </rPr>
      <t xml:space="preserve">  =</t>
    </r>
    <r>
      <rPr>
        <i/>
        <sz val="13"/>
        <color rgb="FF000000"/>
        <rFont val="Arial"/>
        <family val="2"/>
      </rPr>
      <t xml:space="preserve"> p</t>
    </r>
    <r>
      <rPr>
        <vertAlign val="subscript"/>
        <sz val="13"/>
        <color rgb="FF000000"/>
        <rFont val="Arial"/>
        <family val="2"/>
      </rPr>
      <t>ambM*</t>
    </r>
    <r>
      <rPr>
        <sz val="13"/>
        <color rgb="FF000000"/>
        <rFont val="Arial"/>
        <family val="2"/>
      </rPr>
      <t xml:space="preserve">  = 101 325 Pa</t>
    </r>
  </si>
  <si>
    <r>
      <rPr>
        <i/>
        <sz val="13"/>
        <rFont val="Arial"/>
        <family val="2"/>
      </rPr>
      <t>η</t>
    </r>
    <r>
      <rPr>
        <vertAlign val="subscript"/>
        <sz val="13"/>
        <rFont val="Arial"/>
        <family val="2"/>
      </rPr>
      <t xml:space="preserve">hBi </t>
    </r>
    <r>
      <rPr>
        <sz val="13"/>
        <rFont val="Arial"/>
        <family val="2"/>
      </rPr>
      <t xml:space="preserve">= </t>
    </r>
    <r>
      <rPr>
        <i/>
        <sz val="13"/>
        <rFont val="Arial"/>
        <family val="2"/>
      </rPr>
      <t>η</t>
    </r>
    <r>
      <rPr>
        <vertAlign val="subscript"/>
        <sz val="13"/>
        <rFont val="Arial"/>
        <family val="2"/>
      </rPr>
      <t xml:space="preserve">hAi </t>
    </r>
    <r>
      <rPr>
        <sz val="13"/>
        <rFont val="Arial"/>
        <family val="2"/>
      </rPr>
      <t>(1+</t>
    </r>
    <r>
      <rPr>
        <i/>
        <sz val="13"/>
        <rFont val="Arial"/>
        <family val="2"/>
      </rPr>
      <t>Δ</t>
    </r>
    <r>
      <rPr>
        <vertAlign val="subscript"/>
        <sz val="13"/>
        <rFont val="Arial"/>
        <family val="2"/>
      </rPr>
      <t>EA-&gt;Bi</t>
    </r>
    <r>
      <rPr>
        <sz val="13"/>
        <rFont val="Arial"/>
        <family val="2"/>
      </rPr>
      <t>) (1+</t>
    </r>
    <r>
      <rPr>
        <i/>
        <sz val="13"/>
        <rFont val="Arial"/>
        <family val="2"/>
      </rPr>
      <t>Δ</t>
    </r>
    <r>
      <rPr>
        <vertAlign val="subscript"/>
        <sz val="13"/>
        <rFont val="Arial"/>
        <family val="2"/>
      </rPr>
      <t>QA-&gt;Bi</t>
    </r>
    <r>
      <rPr>
        <sz val="13"/>
        <rFont val="Arial"/>
        <family val="2"/>
      </rPr>
      <t>) (1+</t>
    </r>
    <r>
      <rPr>
        <i/>
        <sz val="13"/>
        <rFont val="Arial"/>
        <family val="2"/>
      </rPr>
      <t>Δ</t>
    </r>
    <r>
      <rPr>
        <vertAlign val="subscript"/>
        <sz val="13"/>
        <rFont val="Arial"/>
        <family val="2"/>
      </rPr>
      <t>TA-&gt;Bi</t>
    </r>
    <r>
      <rPr>
        <sz val="13"/>
        <rFont val="Arial"/>
        <family val="2"/>
      </rPr>
      <t>)</t>
    </r>
  </si>
  <si>
    <r>
      <rPr>
        <i/>
        <sz val="13"/>
        <color rgb="FF000000"/>
        <rFont val="Arial"/>
        <family val="2"/>
      </rPr>
      <t>t</t>
    </r>
    <r>
      <rPr>
        <vertAlign val="subscript"/>
        <sz val="13"/>
        <color rgb="FF000000"/>
        <rFont val="Arial"/>
        <family val="2"/>
      </rPr>
      <t>WM*</t>
    </r>
    <r>
      <rPr>
        <sz val="13"/>
        <color rgb="FF000000"/>
        <rFont val="Arial"/>
        <family val="2"/>
      </rPr>
      <t xml:space="preserve"> = 20 °C</t>
    </r>
  </si>
  <si>
    <r>
      <t xml:space="preserve">If </t>
    </r>
    <r>
      <rPr>
        <i/>
        <sz val="13"/>
        <rFont val="Arial"/>
        <family val="2"/>
      </rPr>
      <t>Δ</t>
    </r>
    <r>
      <rPr>
        <vertAlign val="subscript"/>
        <sz val="13"/>
        <rFont val="Arial"/>
        <family val="2"/>
      </rPr>
      <t>Q</t>
    </r>
    <r>
      <rPr>
        <sz val="13"/>
        <rFont val="Arial"/>
        <family val="2"/>
      </rPr>
      <t xml:space="preserve"> ≠ 0, runner seal geometry is corrected to be homologous to prototype. (see "Volumetric Eff.")</t>
    </r>
  </si>
  <si>
    <r>
      <rPr>
        <i/>
        <sz val="13"/>
        <rFont val="Arial"/>
        <family val="2"/>
      </rPr>
      <t>Δη</t>
    </r>
    <r>
      <rPr>
        <vertAlign val="subscript"/>
        <sz val="13"/>
        <rFont val="Arial"/>
        <family val="2"/>
      </rPr>
      <t xml:space="preserve">hi </t>
    </r>
    <r>
      <rPr>
        <sz val="13"/>
        <rFont val="Arial"/>
        <family val="2"/>
      </rPr>
      <t xml:space="preserve">= </t>
    </r>
    <r>
      <rPr>
        <i/>
        <sz val="13"/>
        <rFont val="Arial"/>
        <family val="2"/>
      </rPr>
      <t>η</t>
    </r>
    <r>
      <rPr>
        <vertAlign val="subscript"/>
        <sz val="13"/>
        <rFont val="Arial"/>
        <family val="2"/>
      </rPr>
      <t xml:space="preserve">hBi </t>
    </r>
    <r>
      <rPr>
        <sz val="13"/>
        <rFont val="Arial"/>
        <family val="2"/>
      </rPr>
      <t xml:space="preserve">− </t>
    </r>
    <r>
      <rPr>
        <i/>
        <sz val="13"/>
        <rFont val="Arial"/>
        <family val="2"/>
      </rPr>
      <t>η</t>
    </r>
    <r>
      <rPr>
        <vertAlign val="subscript"/>
        <sz val="13"/>
        <rFont val="Arial"/>
        <family val="2"/>
      </rPr>
      <t>hAi</t>
    </r>
  </si>
  <si>
    <t xml:space="preserve">  Re ref</t>
  </si>
  <si>
    <r>
      <t xml:space="preserve">Leakage loss, </t>
    </r>
    <r>
      <rPr>
        <b/>
        <sz val="11"/>
        <rFont val="Arial"/>
        <family val="2"/>
      </rPr>
      <t>(100-</t>
    </r>
    <r>
      <rPr>
        <b/>
        <sz val="12"/>
        <rFont val="Arial"/>
        <family val="2"/>
      </rPr>
      <t>η</t>
    </r>
    <r>
      <rPr>
        <b/>
        <vertAlign val="subscript"/>
        <sz val="13"/>
        <rFont val="Arial"/>
        <family val="2"/>
      </rPr>
      <t>Q</t>
    </r>
    <r>
      <rPr>
        <b/>
        <sz val="11"/>
        <rFont val="Arial"/>
        <family val="2"/>
      </rPr>
      <t xml:space="preserve">) </t>
    </r>
  </si>
  <si>
    <t>Correction of the Assumed max. hydraulic efficiency for the tested model</t>
  </si>
  <si>
    <r>
      <t xml:space="preserve"> </t>
    </r>
    <r>
      <rPr>
        <i/>
        <sz val="13"/>
        <rFont val="Arial"/>
        <family val="2"/>
      </rPr>
      <t>n</t>
    </r>
    <r>
      <rPr>
        <vertAlign val="subscript"/>
        <sz val="13"/>
        <rFont val="Arial"/>
        <family val="2"/>
      </rPr>
      <t>B</t>
    </r>
    <r>
      <rPr>
        <sz val="13"/>
        <rFont val="Arial"/>
        <family val="2"/>
      </rPr>
      <t xml:space="preserve">          (Hz)  </t>
    </r>
  </si>
  <si>
    <r>
      <t xml:space="preserve"> </t>
    </r>
    <r>
      <rPr>
        <i/>
        <sz val="13"/>
        <rFont val="Arial"/>
        <family val="2"/>
      </rPr>
      <t>E</t>
    </r>
    <r>
      <rPr>
        <vertAlign val="subscript"/>
        <sz val="13"/>
        <rFont val="Arial"/>
        <family val="2"/>
      </rPr>
      <t>Bi</t>
    </r>
    <r>
      <rPr>
        <sz val="13"/>
        <rFont val="Arial"/>
        <family val="2"/>
      </rPr>
      <t xml:space="preserve">       (J/kg)</t>
    </r>
  </si>
  <si>
    <r>
      <rPr>
        <i/>
        <sz val="13"/>
        <rFont val="Cambria"/>
        <family val="1"/>
        <scheme val="major"/>
      </rPr>
      <t xml:space="preserve"> η</t>
    </r>
    <r>
      <rPr>
        <vertAlign val="subscript"/>
        <sz val="13"/>
        <rFont val="Arial"/>
        <family val="2"/>
      </rPr>
      <t>hBi</t>
    </r>
    <r>
      <rPr>
        <sz val="13"/>
        <rFont val="Arial"/>
        <family val="2"/>
      </rPr>
      <t xml:space="preserve">         (%)</t>
    </r>
  </si>
  <si>
    <r>
      <t xml:space="preserve"> </t>
    </r>
    <r>
      <rPr>
        <i/>
        <sz val="13"/>
        <rFont val="Arial"/>
        <family val="2"/>
      </rPr>
      <t>t</t>
    </r>
    <r>
      <rPr>
        <vertAlign val="subscript"/>
        <sz val="13"/>
        <rFont val="Arial"/>
        <family val="2"/>
      </rPr>
      <t xml:space="preserve">WB            </t>
    </r>
    <r>
      <rPr>
        <sz val="13"/>
        <rFont val="Arial"/>
        <family val="2"/>
      </rPr>
      <t>(℃)</t>
    </r>
  </si>
  <si>
    <r>
      <t xml:space="preserve">   </t>
    </r>
    <r>
      <rPr>
        <i/>
        <sz val="13"/>
        <rFont val="Arial"/>
        <family val="2"/>
      </rPr>
      <t>P</t>
    </r>
    <r>
      <rPr>
        <vertAlign val="subscript"/>
        <sz val="13"/>
        <rFont val="Arial"/>
        <family val="2"/>
      </rPr>
      <t xml:space="preserve">mBi      </t>
    </r>
    <r>
      <rPr>
        <sz val="13"/>
        <rFont val="Arial"/>
        <family val="2"/>
      </rPr>
      <t>(kW)</t>
    </r>
  </si>
  <si>
    <r>
      <t xml:space="preserve">  </t>
    </r>
    <r>
      <rPr>
        <i/>
        <sz val="13"/>
        <rFont val="Arial"/>
        <family val="2"/>
      </rPr>
      <t>η</t>
    </r>
    <r>
      <rPr>
        <vertAlign val="subscript"/>
        <sz val="13"/>
        <rFont val="Arial"/>
        <family val="2"/>
      </rPr>
      <t xml:space="preserve">hAi        </t>
    </r>
    <r>
      <rPr>
        <sz val="13"/>
        <rFont val="Arial"/>
        <family val="2"/>
      </rPr>
      <t xml:space="preserve">  (%)</t>
    </r>
  </si>
  <si>
    <r>
      <t xml:space="preserve"> </t>
    </r>
    <r>
      <rPr>
        <i/>
        <sz val="13"/>
        <rFont val="Arial"/>
        <family val="2"/>
      </rPr>
      <t xml:space="preserve"> Δη</t>
    </r>
    <r>
      <rPr>
        <vertAlign val="subscript"/>
        <sz val="13"/>
        <rFont val="Arial"/>
        <family val="2"/>
      </rPr>
      <t>hBi</t>
    </r>
    <r>
      <rPr>
        <sz val="13"/>
        <rFont val="Arial"/>
        <family val="2"/>
      </rPr>
      <t xml:space="preserve">      (%)</t>
    </r>
  </si>
  <si>
    <r>
      <t xml:space="preserve">Transposition for </t>
    </r>
    <r>
      <rPr>
        <b/>
        <i/>
        <sz val="14"/>
        <rFont val="Arial"/>
        <family val="2"/>
      </rPr>
      <t>η</t>
    </r>
    <r>
      <rPr>
        <b/>
        <vertAlign val="subscript"/>
        <sz val="14"/>
        <rFont val="Arial"/>
        <family val="2"/>
      </rPr>
      <t>hAmax</t>
    </r>
    <r>
      <rPr>
        <b/>
        <sz val="14"/>
        <rFont val="Arial"/>
        <family val="2"/>
      </rPr>
      <t xml:space="preserve">  vs  </t>
    </r>
    <r>
      <rPr>
        <b/>
        <i/>
        <sz val="14"/>
        <rFont val="Arial"/>
        <family val="2"/>
      </rPr>
      <t>ΔE</t>
    </r>
    <r>
      <rPr>
        <b/>
        <vertAlign val="subscript"/>
        <sz val="14"/>
        <rFont val="Arial"/>
        <family val="2"/>
      </rPr>
      <t>M*-&gt;Mopt</t>
    </r>
  </si>
  <si>
    <r>
      <t xml:space="preserve">Transposition for </t>
    </r>
    <r>
      <rPr>
        <b/>
        <i/>
        <sz val="14"/>
        <rFont val="Arial"/>
        <family val="2"/>
      </rPr>
      <t>η</t>
    </r>
    <r>
      <rPr>
        <b/>
        <vertAlign val="subscript"/>
        <sz val="14"/>
        <rFont val="Arial"/>
        <family val="2"/>
      </rPr>
      <t xml:space="preserve">hAmax </t>
    </r>
    <r>
      <rPr>
        <b/>
        <sz val="14"/>
        <rFont val="Arial"/>
        <family val="2"/>
      </rPr>
      <t xml:space="preserve"> vs  </t>
    </r>
    <r>
      <rPr>
        <b/>
        <i/>
        <sz val="14"/>
        <rFont val="Arial"/>
        <family val="2"/>
      </rPr>
      <t>ΔT</t>
    </r>
    <r>
      <rPr>
        <b/>
        <vertAlign val="subscript"/>
        <sz val="14"/>
        <rFont val="Arial"/>
        <family val="2"/>
      </rPr>
      <t>M*-&gt;Mopt</t>
    </r>
    <r>
      <rPr>
        <b/>
        <sz val="14"/>
        <rFont val="Arial"/>
        <family val="2"/>
      </rPr>
      <t xml:space="preserve"> </t>
    </r>
  </si>
  <si>
    <r>
      <t xml:space="preserve">  (</t>
    </r>
    <r>
      <rPr>
        <i/>
        <sz val="13"/>
        <rFont val="Arial"/>
        <family val="2"/>
      </rPr>
      <t>Ra</t>
    </r>
    <r>
      <rPr>
        <vertAlign val="subscript"/>
        <sz val="13"/>
        <rFont val="Arial"/>
        <family val="2"/>
      </rPr>
      <t>T</t>
    </r>
    <r>
      <rPr>
        <sz val="13"/>
        <rFont val="Arial"/>
        <family val="2"/>
      </rPr>
      <t>/</t>
    </r>
    <r>
      <rPr>
        <i/>
        <sz val="13"/>
        <rFont val="Arial"/>
        <family val="2"/>
      </rPr>
      <t>D</t>
    </r>
    <r>
      <rPr>
        <sz val="13"/>
        <rFont val="Arial"/>
        <family val="2"/>
      </rPr>
      <t>)</t>
    </r>
    <r>
      <rPr>
        <vertAlign val="subscript"/>
        <sz val="13"/>
        <rFont val="Arial"/>
        <family val="2"/>
      </rPr>
      <t>A</t>
    </r>
  </si>
  <si>
    <r>
      <t xml:space="preserve">  7.5x10</t>
    </r>
    <r>
      <rPr>
        <vertAlign val="superscript"/>
        <sz val="13"/>
        <rFont val="Arial"/>
        <family val="2"/>
      </rPr>
      <t xml:space="preserve">4 </t>
    </r>
    <r>
      <rPr>
        <i/>
        <sz val="13"/>
        <rFont val="Arial"/>
        <family val="2"/>
      </rPr>
      <t>κ</t>
    </r>
    <r>
      <rPr>
        <vertAlign val="subscript"/>
        <sz val="13"/>
        <rFont val="Arial"/>
        <family val="2"/>
      </rPr>
      <t>T</t>
    </r>
    <r>
      <rPr>
        <sz val="13"/>
        <rFont val="Arial"/>
        <family val="2"/>
      </rPr>
      <t>(</t>
    </r>
    <r>
      <rPr>
        <i/>
        <sz val="13"/>
        <rFont val="Arial"/>
        <family val="2"/>
      </rPr>
      <t>Ra</t>
    </r>
    <r>
      <rPr>
        <vertAlign val="subscript"/>
        <sz val="13"/>
        <rFont val="Arial"/>
        <family val="2"/>
      </rPr>
      <t>T</t>
    </r>
    <r>
      <rPr>
        <sz val="13"/>
        <rFont val="Arial"/>
        <family val="2"/>
      </rPr>
      <t>/</t>
    </r>
    <r>
      <rPr>
        <i/>
        <sz val="13"/>
        <rFont val="Arial"/>
        <family val="2"/>
      </rPr>
      <t>D</t>
    </r>
    <r>
      <rPr>
        <sz val="13"/>
        <rFont val="Arial"/>
        <family val="2"/>
      </rPr>
      <t>)</t>
    </r>
    <r>
      <rPr>
        <vertAlign val="subscript"/>
        <sz val="13"/>
        <rFont val="Arial"/>
        <family val="2"/>
      </rPr>
      <t>A</t>
    </r>
  </si>
  <si>
    <r>
      <t xml:space="preserve">  7x10</t>
    </r>
    <r>
      <rPr>
        <vertAlign val="superscript"/>
        <sz val="13"/>
        <rFont val="Arial"/>
        <family val="2"/>
      </rPr>
      <t>6</t>
    </r>
    <r>
      <rPr>
        <sz val="13"/>
        <rFont val="Arial"/>
        <family val="2"/>
      </rPr>
      <t>/</t>
    </r>
    <r>
      <rPr>
        <i/>
        <sz val="13"/>
        <rFont val="Arial"/>
        <family val="2"/>
      </rPr>
      <t>Re</t>
    </r>
    <r>
      <rPr>
        <vertAlign val="subscript"/>
        <sz val="13"/>
        <rFont val="Arial"/>
        <family val="2"/>
      </rPr>
      <t>A</t>
    </r>
  </si>
  <si>
    <r>
      <t xml:space="preserve">  {7.5x10</t>
    </r>
    <r>
      <rPr>
        <vertAlign val="superscript"/>
        <sz val="13"/>
        <rFont val="Arial"/>
        <family val="2"/>
      </rPr>
      <t xml:space="preserve">4 </t>
    </r>
    <r>
      <rPr>
        <i/>
        <sz val="13"/>
        <rFont val="Arial"/>
        <family val="2"/>
      </rPr>
      <t>κ</t>
    </r>
    <r>
      <rPr>
        <vertAlign val="subscript"/>
        <sz val="13"/>
        <rFont val="Arial"/>
        <family val="2"/>
      </rPr>
      <t>T</t>
    </r>
    <r>
      <rPr>
        <sz val="13"/>
        <rFont val="Arial"/>
        <family val="2"/>
      </rPr>
      <t>(</t>
    </r>
    <r>
      <rPr>
        <i/>
        <sz val="13"/>
        <rFont val="Arial"/>
        <family val="2"/>
      </rPr>
      <t>Ra</t>
    </r>
    <r>
      <rPr>
        <vertAlign val="subscript"/>
        <sz val="13"/>
        <rFont val="Arial"/>
        <family val="2"/>
      </rPr>
      <t>T</t>
    </r>
    <r>
      <rPr>
        <sz val="13"/>
        <rFont val="Arial"/>
        <family val="2"/>
      </rPr>
      <t>/</t>
    </r>
    <r>
      <rPr>
        <i/>
        <sz val="13"/>
        <rFont val="Arial"/>
        <family val="2"/>
      </rPr>
      <t>D</t>
    </r>
    <r>
      <rPr>
        <sz val="13"/>
        <rFont val="Arial"/>
        <family val="2"/>
      </rPr>
      <t>)</t>
    </r>
    <r>
      <rPr>
        <vertAlign val="subscript"/>
        <sz val="13"/>
        <rFont val="Arial"/>
        <family val="2"/>
      </rPr>
      <t>A</t>
    </r>
    <r>
      <rPr>
        <sz val="13"/>
        <rFont val="Arial"/>
        <family val="2"/>
      </rPr>
      <t>+7 x 10</t>
    </r>
    <r>
      <rPr>
        <vertAlign val="superscript"/>
        <sz val="13"/>
        <rFont val="Arial"/>
        <family val="2"/>
      </rPr>
      <t>6</t>
    </r>
    <r>
      <rPr>
        <sz val="13"/>
        <rFont val="Arial"/>
        <family val="2"/>
      </rPr>
      <t>/</t>
    </r>
    <r>
      <rPr>
        <i/>
        <sz val="13"/>
        <rFont val="Arial"/>
        <family val="2"/>
      </rPr>
      <t>Re</t>
    </r>
    <r>
      <rPr>
        <vertAlign val="subscript"/>
        <sz val="13"/>
        <rFont val="Arial"/>
        <family val="2"/>
      </rPr>
      <t>A</t>
    </r>
    <r>
      <rPr>
        <sz val="13"/>
        <rFont val="Arial"/>
        <family val="2"/>
      </rPr>
      <t>}</t>
    </r>
    <r>
      <rPr>
        <vertAlign val="superscript"/>
        <sz val="13"/>
        <rFont val="Arial"/>
        <family val="2"/>
      </rPr>
      <t>0.2</t>
    </r>
  </si>
  <si>
    <r>
      <t xml:space="preserve">  (</t>
    </r>
    <r>
      <rPr>
        <i/>
        <sz val="13"/>
        <rFont val="Arial"/>
        <family val="2"/>
      </rPr>
      <t>Ra</t>
    </r>
    <r>
      <rPr>
        <vertAlign val="subscript"/>
        <sz val="13"/>
        <rFont val="Arial"/>
        <family val="2"/>
      </rPr>
      <t>T</t>
    </r>
    <r>
      <rPr>
        <sz val="13"/>
        <rFont val="Arial"/>
        <family val="2"/>
      </rPr>
      <t>/</t>
    </r>
    <r>
      <rPr>
        <i/>
        <sz val="13"/>
        <rFont val="Arial"/>
        <family val="2"/>
      </rPr>
      <t>D</t>
    </r>
    <r>
      <rPr>
        <sz val="13"/>
        <rFont val="Arial"/>
        <family val="2"/>
      </rPr>
      <t>)</t>
    </r>
    <r>
      <rPr>
        <vertAlign val="subscript"/>
        <sz val="13"/>
        <rFont val="Arial"/>
        <family val="2"/>
      </rPr>
      <t>B</t>
    </r>
  </si>
  <si>
    <r>
      <t xml:space="preserve">  7.5x10</t>
    </r>
    <r>
      <rPr>
        <vertAlign val="superscript"/>
        <sz val="13"/>
        <rFont val="Arial"/>
        <family val="2"/>
      </rPr>
      <t xml:space="preserve">4 </t>
    </r>
    <r>
      <rPr>
        <i/>
        <sz val="13"/>
        <rFont val="Arial"/>
        <family val="2"/>
      </rPr>
      <t>κ</t>
    </r>
    <r>
      <rPr>
        <vertAlign val="subscript"/>
        <sz val="13"/>
        <rFont val="Arial"/>
        <family val="2"/>
      </rPr>
      <t>T</t>
    </r>
    <r>
      <rPr>
        <sz val="13"/>
        <rFont val="Arial"/>
        <family val="2"/>
      </rPr>
      <t>(</t>
    </r>
    <r>
      <rPr>
        <i/>
        <sz val="13"/>
        <rFont val="Arial"/>
        <family val="2"/>
      </rPr>
      <t>Ra</t>
    </r>
    <r>
      <rPr>
        <vertAlign val="subscript"/>
        <sz val="13"/>
        <rFont val="Arial"/>
        <family val="2"/>
      </rPr>
      <t>T</t>
    </r>
    <r>
      <rPr>
        <sz val="13"/>
        <rFont val="Arial"/>
        <family val="2"/>
      </rPr>
      <t>/</t>
    </r>
    <r>
      <rPr>
        <i/>
        <sz val="13"/>
        <rFont val="Arial"/>
        <family val="2"/>
      </rPr>
      <t>D</t>
    </r>
    <r>
      <rPr>
        <sz val="13"/>
        <rFont val="Arial"/>
        <family val="2"/>
      </rPr>
      <t>)</t>
    </r>
    <r>
      <rPr>
        <vertAlign val="subscript"/>
        <sz val="13"/>
        <rFont val="Arial"/>
        <family val="2"/>
      </rPr>
      <t>B</t>
    </r>
  </si>
  <si>
    <r>
      <t xml:space="preserve">  7x10</t>
    </r>
    <r>
      <rPr>
        <vertAlign val="superscript"/>
        <sz val="13"/>
        <rFont val="Arial"/>
        <family val="2"/>
      </rPr>
      <t>6</t>
    </r>
    <r>
      <rPr>
        <sz val="13"/>
        <rFont val="Arial"/>
        <family val="2"/>
      </rPr>
      <t>/</t>
    </r>
    <r>
      <rPr>
        <i/>
        <sz val="13"/>
        <rFont val="Arial"/>
        <family val="2"/>
      </rPr>
      <t>Re</t>
    </r>
    <r>
      <rPr>
        <vertAlign val="subscript"/>
        <sz val="13"/>
        <rFont val="Arial"/>
        <family val="2"/>
      </rPr>
      <t>B</t>
    </r>
  </si>
  <si>
    <r>
      <t xml:space="preserve">  {7.5x10</t>
    </r>
    <r>
      <rPr>
        <vertAlign val="superscript"/>
        <sz val="13"/>
        <rFont val="Arial"/>
        <family val="2"/>
      </rPr>
      <t xml:space="preserve">4 </t>
    </r>
    <r>
      <rPr>
        <i/>
        <sz val="13"/>
        <rFont val="Arial"/>
        <family val="2"/>
      </rPr>
      <t>κ</t>
    </r>
    <r>
      <rPr>
        <vertAlign val="subscript"/>
        <sz val="13"/>
        <rFont val="Arial"/>
        <family val="2"/>
      </rPr>
      <t>T</t>
    </r>
    <r>
      <rPr>
        <sz val="13"/>
        <rFont val="Arial"/>
        <family val="2"/>
      </rPr>
      <t>(</t>
    </r>
    <r>
      <rPr>
        <i/>
        <sz val="13"/>
        <rFont val="Arial"/>
        <family val="2"/>
      </rPr>
      <t>Ra</t>
    </r>
    <r>
      <rPr>
        <vertAlign val="subscript"/>
        <sz val="13"/>
        <rFont val="Arial"/>
        <family val="2"/>
      </rPr>
      <t>T</t>
    </r>
    <r>
      <rPr>
        <sz val="13"/>
        <rFont val="Arial"/>
        <family val="2"/>
      </rPr>
      <t>/</t>
    </r>
    <r>
      <rPr>
        <i/>
        <sz val="13"/>
        <rFont val="Arial"/>
        <family val="2"/>
      </rPr>
      <t>D</t>
    </r>
    <r>
      <rPr>
        <sz val="13"/>
        <rFont val="Arial"/>
        <family val="2"/>
      </rPr>
      <t>)</t>
    </r>
    <r>
      <rPr>
        <vertAlign val="subscript"/>
        <sz val="13"/>
        <rFont val="Arial"/>
        <family val="2"/>
      </rPr>
      <t>B</t>
    </r>
    <r>
      <rPr>
        <sz val="13"/>
        <rFont val="Arial"/>
        <family val="2"/>
      </rPr>
      <t>+7x10</t>
    </r>
    <r>
      <rPr>
        <vertAlign val="superscript"/>
        <sz val="13"/>
        <rFont val="Arial"/>
        <family val="2"/>
      </rPr>
      <t>6</t>
    </r>
    <r>
      <rPr>
        <sz val="13"/>
        <rFont val="Arial"/>
        <family val="2"/>
      </rPr>
      <t>/</t>
    </r>
    <r>
      <rPr>
        <i/>
        <sz val="13"/>
        <rFont val="Arial"/>
        <family val="2"/>
      </rPr>
      <t>Re</t>
    </r>
    <r>
      <rPr>
        <vertAlign val="subscript"/>
        <sz val="13"/>
        <rFont val="Arial"/>
        <family val="2"/>
      </rPr>
      <t>B</t>
    </r>
    <r>
      <rPr>
        <sz val="13"/>
        <rFont val="Arial"/>
        <family val="2"/>
      </rPr>
      <t>}</t>
    </r>
    <r>
      <rPr>
        <vertAlign val="superscript"/>
        <sz val="13"/>
        <rFont val="Arial"/>
        <family val="2"/>
      </rPr>
      <t>0.2</t>
    </r>
  </si>
  <si>
    <r>
      <t xml:space="preserve">  7x10</t>
    </r>
    <r>
      <rPr>
        <vertAlign val="superscript"/>
        <sz val="13"/>
        <rFont val="Arial"/>
        <family val="2"/>
      </rPr>
      <t>6</t>
    </r>
    <r>
      <rPr>
        <sz val="13"/>
        <rFont val="Arial"/>
        <family val="2"/>
      </rPr>
      <t>/</t>
    </r>
    <r>
      <rPr>
        <i/>
        <sz val="13"/>
        <rFont val="Arial"/>
        <family val="2"/>
      </rPr>
      <t>Re</t>
    </r>
    <r>
      <rPr>
        <vertAlign val="subscript"/>
        <sz val="13"/>
        <rFont val="Arial"/>
        <family val="2"/>
      </rPr>
      <t>Aopt</t>
    </r>
  </si>
  <si>
    <r>
      <t xml:space="preserve">  {7.5x10</t>
    </r>
    <r>
      <rPr>
        <vertAlign val="superscript"/>
        <sz val="13"/>
        <rFont val="Arial"/>
        <family val="2"/>
      </rPr>
      <t xml:space="preserve">4 </t>
    </r>
    <r>
      <rPr>
        <i/>
        <sz val="13"/>
        <rFont val="Arial"/>
        <family val="2"/>
      </rPr>
      <t>κ</t>
    </r>
    <r>
      <rPr>
        <vertAlign val="subscript"/>
        <sz val="13"/>
        <rFont val="Arial"/>
        <family val="2"/>
      </rPr>
      <t>T</t>
    </r>
    <r>
      <rPr>
        <sz val="13"/>
        <rFont val="Arial"/>
        <family val="2"/>
      </rPr>
      <t>(</t>
    </r>
    <r>
      <rPr>
        <i/>
        <sz val="13"/>
        <rFont val="Arial"/>
        <family val="2"/>
      </rPr>
      <t>Ra</t>
    </r>
    <r>
      <rPr>
        <vertAlign val="subscript"/>
        <sz val="13"/>
        <rFont val="Arial"/>
        <family val="2"/>
      </rPr>
      <t>T</t>
    </r>
    <r>
      <rPr>
        <sz val="13"/>
        <rFont val="Arial"/>
        <family val="2"/>
      </rPr>
      <t>/</t>
    </r>
    <r>
      <rPr>
        <i/>
        <sz val="13"/>
        <rFont val="Arial"/>
        <family val="2"/>
      </rPr>
      <t>D</t>
    </r>
    <r>
      <rPr>
        <sz val="13"/>
        <rFont val="Arial"/>
        <family val="2"/>
      </rPr>
      <t>)</t>
    </r>
    <r>
      <rPr>
        <vertAlign val="subscript"/>
        <sz val="13"/>
        <rFont val="Arial"/>
        <family val="2"/>
      </rPr>
      <t>A</t>
    </r>
    <r>
      <rPr>
        <sz val="13"/>
        <rFont val="Arial"/>
        <family val="2"/>
      </rPr>
      <t>+7 x 10</t>
    </r>
    <r>
      <rPr>
        <vertAlign val="superscript"/>
        <sz val="13"/>
        <rFont val="Arial"/>
        <family val="2"/>
      </rPr>
      <t>6</t>
    </r>
    <r>
      <rPr>
        <sz val="13"/>
        <rFont val="Arial"/>
        <family val="2"/>
      </rPr>
      <t>/</t>
    </r>
    <r>
      <rPr>
        <i/>
        <sz val="13"/>
        <rFont val="Arial"/>
        <family val="2"/>
      </rPr>
      <t>Re</t>
    </r>
    <r>
      <rPr>
        <vertAlign val="subscript"/>
        <sz val="13"/>
        <rFont val="Arial"/>
        <family val="2"/>
      </rPr>
      <t>Aopt</t>
    </r>
    <r>
      <rPr>
        <sz val="13"/>
        <rFont val="Arial"/>
        <family val="2"/>
      </rPr>
      <t>}</t>
    </r>
    <r>
      <rPr>
        <vertAlign val="superscript"/>
        <sz val="13"/>
        <rFont val="Arial"/>
        <family val="2"/>
      </rPr>
      <t>0.2</t>
    </r>
  </si>
  <si>
    <r>
      <t xml:space="preserve">  7x10</t>
    </r>
    <r>
      <rPr>
        <vertAlign val="superscript"/>
        <sz val="13"/>
        <rFont val="Arial"/>
        <family val="2"/>
      </rPr>
      <t>6</t>
    </r>
    <r>
      <rPr>
        <sz val="13"/>
        <rFont val="Arial"/>
        <family val="2"/>
      </rPr>
      <t>/</t>
    </r>
    <r>
      <rPr>
        <i/>
        <sz val="13"/>
        <rFont val="Arial"/>
        <family val="2"/>
      </rPr>
      <t>Re</t>
    </r>
    <r>
      <rPr>
        <vertAlign val="subscript"/>
        <sz val="13"/>
        <rFont val="Arial"/>
        <family val="2"/>
      </rPr>
      <t>Bopt</t>
    </r>
  </si>
  <si>
    <r>
      <t xml:space="preserve">  {7.5x10</t>
    </r>
    <r>
      <rPr>
        <vertAlign val="superscript"/>
        <sz val="13"/>
        <rFont val="Arial"/>
        <family val="2"/>
      </rPr>
      <t xml:space="preserve">4 </t>
    </r>
    <r>
      <rPr>
        <i/>
        <sz val="13"/>
        <rFont val="Arial"/>
        <family val="2"/>
      </rPr>
      <t>κ</t>
    </r>
    <r>
      <rPr>
        <vertAlign val="subscript"/>
        <sz val="13"/>
        <rFont val="Arial"/>
        <family val="2"/>
      </rPr>
      <t>T</t>
    </r>
    <r>
      <rPr>
        <sz val="13"/>
        <rFont val="Arial"/>
        <family val="2"/>
      </rPr>
      <t>(</t>
    </r>
    <r>
      <rPr>
        <i/>
        <sz val="13"/>
        <rFont val="Arial"/>
        <family val="2"/>
      </rPr>
      <t>Ra</t>
    </r>
    <r>
      <rPr>
        <vertAlign val="subscript"/>
        <sz val="13"/>
        <rFont val="Arial"/>
        <family val="2"/>
      </rPr>
      <t>T</t>
    </r>
    <r>
      <rPr>
        <sz val="13"/>
        <rFont val="Arial"/>
        <family val="2"/>
      </rPr>
      <t>/</t>
    </r>
    <r>
      <rPr>
        <i/>
        <sz val="13"/>
        <rFont val="Arial"/>
        <family val="2"/>
      </rPr>
      <t>D</t>
    </r>
    <r>
      <rPr>
        <sz val="13"/>
        <rFont val="Arial"/>
        <family val="2"/>
      </rPr>
      <t>)</t>
    </r>
    <r>
      <rPr>
        <vertAlign val="subscript"/>
        <sz val="13"/>
        <rFont val="Arial"/>
        <family val="2"/>
      </rPr>
      <t>B</t>
    </r>
    <r>
      <rPr>
        <sz val="13"/>
        <rFont val="Arial"/>
        <family val="2"/>
      </rPr>
      <t>+7x10</t>
    </r>
    <r>
      <rPr>
        <vertAlign val="superscript"/>
        <sz val="13"/>
        <rFont val="Arial"/>
        <family val="2"/>
      </rPr>
      <t>6</t>
    </r>
    <r>
      <rPr>
        <sz val="13"/>
        <rFont val="Arial"/>
        <family val="2"/>
      </rPr>
      <t>/</t>
    </r>
    <r>
      <rPr>
        <i/>
        <sz val="13"/>
        <rFont val="Arial"/>
        <family val="2"/>
      </rPr>
      <t>Re</t>
    </r>
    <r>
      <rPr>
        <vertAlign val="subscript"/>
        <sz val="13"/>
        <rFont val="Arial"/>
        <family val="2"/>
      </rPr>
      <t>Bopt</t>
    </r>
    <r>
      <rPr>
        <sz val="13"/>
        <rFont val="Arial"/>
        <family val="2"/>
      </rPr>
      <t>}</t>
    </r>
    <r>
      <rPr>
        <vertAlign val="superscript"/>
        <sz val="13"/>
        <rFont val="Arial"/>
        <family val="2"/>
      </rPr>
      <t>0.2</t>
    </r>
  </si>
  <si>
    <r>
      <rPr>
        <i/>
        <sz val="13"/>
        <rFont val="Arial"/>
        <family val="2"/>
      </rPr>
      <t>Δ</t>
    </r>
    <r>
      <rPr>
        <vertAlign val="subscript"/>
        <sz val="13"/>
        <rFont val="Arial"/>
        <family val="2"/>
      </rPr>
      <t>TA-&gt;Bopt</t>
    </r>
  </si>
  <si>
    <r>
      <t xml:space="preserve">  </t>
    </r>
    <r>
      <rPr>
        <i/>
        <sz val="13"/>
        <rFont val="Arial"/>
        <family val="2"/>
      </rPr>
      <t>D</t>
    </r>
    <r>
      <rPr>
        <vertAlign val="subscript"/>
        <sz val="13"/>
        <rFont val="Arial"/>
        <family val="2"/>
      </rPr>
      <t>ref</t>
    </r>
  </si>
  <si>
    <r>
      <t xml:space="preserve">  </t>
    </r>
    <r>
      <rPr>
        <i/>
        <sz val="13"/>
        <rFont val="Arial"/>
        <family val="2"/>
      </rPr>
      <t>Re</t>
    </r>
    <r>
      <rPr>
        <vertAlign val="subscript"/>
        <sz val="13"/>
        <rFont val="Arial"/>
        <family val="2"/>
      </rPr>
      <t>ref</t>
    </r>
  </si>
  <si>
    <r>
      <t xml:space="preserve">  </t>
    </r>
    <r>
      <rPr>
        <i/>
        <sz val="13"/>
        <rFont val="Arial"/>
        <family val="2"/>
      </rPr>
      <t>Ra</t>
    </r>
    <r>
      <rPr>
        <vertAlign val="subscript"/>
        <sz val="13"/>
        <rFont val="Arial"/>
        <family val="2"/>
      </rPr>
      <t>TA</t>
    </r>
  </si>
  <si>
    <r>
      <t xml:space="preserve"> </t>
    </r>
    <r>
      <rPr>
        <i/>
        <sz val="13"/>
        <rFont val="Arial"/>
        <family val="2"/>
      </rPr>
      <t xml:space="preserve"> Re</t>
    </r>
    <r>
      <rPr>
        <vertAlign val="subscript"/>
        <sz val="13"/>
        <rFont val="Arial"/>
        <family val="2"/>
      </rPr>
      <t>B</t>
    </r>
  </si>
  <si>
    <r>
      <t xml:space="preserve">  </t>
    </r>
    <r>
      <rPr>
        <i/>
        <sz val="13"/>
        <rFont val="Arial"/>
        <family val="2"/>
      </rPr>
      <t>Ra</t>
    </r>
    <r>
      <rPr>
        <vertAlign val="subscript"/>
        <sz val="13"/>
        <rFont val="Arial"/>
        <family val="2"/>
      </rPr>
      <t>TB</t>
    </r>
  </si>
  <si>
    <r>
      <t xml:space="preserve">  </t>
    </r>
    <r>
      <rPr>
        <i/>
        <sz val="13"/>
        <rFont val="Arial"/>
        <family val="2"/>
      </rPr>
      <t>k</t>
    </r>
    <r>
      <rPr>
        <vertAlign val="subscript"/>
        <sz val="13"/>
        <rFont val="Arial"/>
        <family val="2"/>
      </rPr>
      <t>T</t>
    </r>
  </si>
  <si>
    <r>
      <t xml:space="preserve">  </t>
    </r>
    <r>
      <rPr>
        <i/>
        <sz val="13"/>
        <rFont val="Arial"/>
        <family val="2"/>
      </rPr>
      <t>d</t>
    </r>
    <r>
      <rPr>
        <vertAlign val="subscript"/>
        <sz val="13"/>
        <rFont val="Arial"/>
        <family val="2"/>
      </rPr>
      <t xml:space="preserve">Tref            </t>
    </r>
    <r>
      <rPr>
        <sz val="13"/>
        <rFont val="Arial"/>
        <family val="2"/>
      </rPr>
      <t xml:space="preserve">   (%)</t>
    </r>
  </si>
  <si>
    <r>
      <rPr>
        <i/>
        <sz val="13"/>
        <rFont val="Arial"/>
        <family val="2"/>
      </rPr>
      <t>Δ</t>
    </r>
    <r>
      <rPr>
        <vertAlign val="subscript"/>
        <sz val="13"/>
        <rFont val="Arial"/>
        <family val="2"/>
      </rPr>
      <t>TA-&gt;Bi</t>
    </r>
  </si>
  <si>
    <r>
      <t xml:space="preserve"> </t>
    </r>
    <r>
      <rPr>
        <i/>
        <sz val="13"/>
        <rFont val="Arial"/>
        <family val="2"/>
      </rPr>
      <t>c</t>
    </r>
    <r>
      <rPr>
        <vertAlign val="subscript"/>
        <sz val="13"/>
        <rFont val="Arial"/>
        <family val="2"/>
      </rPr>
      <t>c1</t>
    </r>
  </si>
  <si>
    <r>
      <t xml:space="preserve"> </t>
    </r>
    <r>
      <rPr>
        <i/>
        <sz val="13"/>
        <rFont val="Arial"/>
        <family val="2"/>
      </rPr>
      <t>R</t>
    </r>
    <r>
      <rPr>
        <vertAlign val="subscript"/>
        <sz val="13"/>
        <rFont val="Arial"/>
        <family val="2"/>
      </rPr>
      <t>c11</t>
    </r>
  </si>
  <si>
    <r>
      <t xml:space="preserve"> </t>
    </r>
    <r>
      <rPr>
        <i/>
        <sz val="13"/>
        <rFont val="Arial"/>
        <family val="2"/>
      </rPr>
      <t>R</t>
    </r>
    <r>
      <rPr>
        <vertAlign val="subscript"/>
        <sz val="13"/>
        <rFont val="Arial"/>
        <family val="2"/>
      </rPr>
      <t>c12</t>
    </r>
  </si>
  <si>
    <r>
      <t xml:space="preserve"> </t>
    </r>
    <r>
      <rPr>
        <i/>
        <sz val="13"/>
        <rFont val="Arial"/>
        <family val="2"/>
      </rPr>
      <t>R</t>
    </r>
    <r>
      <rPr>
        <vertAlign val="subscript"/>
        <sz val="13"/>
        <rFont val="Arial"/>
        <family val="2"/>
      </rPr>
      <t>c13</t>
    </r>
  </si>
  <si>
    <r>
      <t xml:space="preserve"> </t>
    </r>
    <r>
      <rPr>
        <i/>
        <sz val="13"/>
        <rFont val="Arial"/>
        <family val="2"/>
      </rPr>
      <t>R</t>
    </r>
    <r>
      <rPr>
        <vertAlign val="subscript"/>
        <sz val="13"/>
        <rFont val="Arial"/>
        <family val="2"/>
      </rPr>
      <t>c14</t>
    </r>
  </si>
  <si>
    <r>
      <t xml:space="preserve"> </t>
    </r>
    <r>
      <rPr>
        <i/>
        <sz val="13"/>
        <rFont val="Arial"/>
        <family val="2"/>
      </rPr>
      <t>L</t>
    </r>
    <r>
      <rPr>
        <vertAlign val="subscript"/>
        <sz val="13"/>
        <rFont val="Arial"/>
        <family val="2"/>
      </rPr>
      <t>c11</t>
    </r>
  </si>
  <si>
    <r>
      <rPr>
        <i/>
        <sz val="13"/>
        <rFont val="Arial"/>
        <family val="2"/>
      </rPr>
      <t xml:space="preserve"> L</t>
    </r>
    <r>
      <rPr>
        <vertAlign val="subscript"/>
        <sz val="13"/>
        <rFont val="Arial"/>
        <family val="2"/>
      </rPr>
      <t>c12</t>
    </r>
  </si>
  <si>
    <r>
      <t xml:space="preserve"> </t>
    </r>
    <r>
      <rPr>
        <i/>
        <sz val="13"/>
        <rFont val="Arial"/>
        <family val="2"/>
      </rPr>
      <t>L</t>
    </r>
    <r>
      <rPr>
        <vertAlign val="subscript"/>
        <sz val="13"/>
        <rFont val="Arial"/>
        <family val="2"/>
      </rPr>
      <t>c13</t>
    </r>
  </si>
  <si>
    <r>
      <t xml:space="preserve"> </t>
    </r>
    <r>
      <rPr>
        <i/>
        <sz val="13"/>
        <rFont val="Arial"/>
        <family val="2"/>
      </rPr>
      <t>L</t>
    </r>
    <r>
      <rPr>
        <vertAlign val="subscript"/>
        <sz val="13"/>
        <rFont val="Arial"/>
        <family val="2"/>
      </rPr>
      <t>c14</t>
    </r>
  </si>
  <si>
    <r>
      <t xml:space="preserve"> </t>
    </r>
    <r>
      <rPr>
        <i/>
        <sz val="13"/>
        <rFont val="Arial"/>
        <family val="2"/>
      </rPr>
      <t>c</t>
    </r>
    <r>
      <rPr>
        <vertAlign val="subscript"/>
        <sz val="13"/>
        <rFont val="Arial"/>
        <family val="2"/>
      </rPr>
      <t>c2</t>
    </r>
  </si>
  <si>
    <r>
      <t xml:space="preserve"> </t>
    </r>
    <r>
      <rPr>
        <i/>
        <sz val="13"/>
        <rFont val="Arial"/>
        <family val="2"/>
      </rPr>
      <t>R</t>
    </r>
    <r>
      <rPr>
        <vertAlign val="subscript"/>
        <sz val="13"/>
        <rFont val="Arial"/>
        <family val="2"/>
      </rPr>
      <t>c21</t>
    </r>
  </si>
  <si>
    <r>
      <t xml:space="preserve"> </t>
    </r>
    <r>
      <rPr>
        <i/>
        <sz val="13"/>
        <rFont val="Arial"/>
        <family val="2"/>
      </rPr>
      <t>R</t>
    </r>
    <r>
      <rPr>
        <vertAlign val="subscript"/>
        <sz val="13"/>
        <rFont val="Arial"/>
        <family val="2"/>
      </rPr>
      <t>c22</t>
    </r>
  </si>
  <si>
    <r>
      <t xml:space="preserve"> </t>
    </r>
    <r>
      <rPr>
        <i/>
        <sz val="13"/>
        <rFont val="Arial"/>
        <family val="2"/>
      </rPr>
      <t>R</t>
    </r>
    <r>
      <rPr>
        <vertAlign val="subscript"/>
        <sz val="13"/>
        <rFont val="Arial"/>
        <family val="2"/>
      </rPr>
      <t>c23</t>
    </r>
  </si>
  <si>
    <r>
      <t xml:space="preserve"> </t>
    </r>
    <r>
      <rPr>
        <i/>
        <sz val="13"/>
        <rFont val="Arial"/>
        <family val="2"/>
      </rPr>
      <t>R</t>
    </r>
    <r>
      <rPr>
        <vertAlign val="subscript"/>
        <sz val="13"/>
        <rFont val="Arial"/>
        <family val="2"/>
      </rPr>
      <t>c24</t>
    </r>
  </si>
  <si>
    <r>
      <rPr>
        <i/>
        <sz val="13"/>
        <rFont val="Arial"/>
        <family val="2"/>
      </rPr>
      <t xml:space="preserve"> L</t>
    </r>
    <r>
      <rPr>
        <vertAlign val="subscript"/>
        <sz val="13"/>
        <rFont val="Arial"/>
        <family val="2"/>
      </rPr>
      <t>c21</t>
    </r>
  </si>
  <si>
    <r>
      <t xml:space="preserve"> </t>
    </r>
    <r>
      <rPr>
        <i/>
        <sz val="13"/>
        <rFont val="Arial"/>
        <family val="2"/>
      </rPr>
      <t>L</t>
    </r>
    <r>
      <rPr>
        <vertAlign val="subscript"/>
        <sz val="13"/>
        <rFont val="Arial"/>
        <family val="2"/>
      </rPr>
      <t>c22</t>
    </r>
  </si>
  <si>
    <r>
      <t xml:space="preserve"> </t>
    </r>
    <r>
      <rPr>
        <i/>
        <sz val="13"/>
        <rFont val="Arial"/>
        <family val="2"/>
      </rPr>
      <t>L</t>
    </r>
    <r>
      <rPr>
        <vertAlign val="subscript"/>
        <sz val="13"/>
        <rFont val="Arial"/>
        <family val="2"/>
      </rPr>
      <t>c23</t>
    </r>
  </si>
  <si>
    <r>
      <t xml:space="preserve"> </t>
    </r>
    <r>
      <rPr>
        <i/>
        <sz val="13"/>
        <rFont val="Arial"/>
        <family val="2"/>
      </rPr>
      <t>L</t>
    </r>
    <r>
      <rPr>
        <vertAlign val="subscript"/>
        <sz val="13"/>
        <rFont val="Arial"/>
        <family val="2"/>
      </rPr>
      <t>c24</t>
    </r>
  </si>
  <si>
    <r>
      <t xml:space="preserve"> </t>
    </r>
    <r>
      <rPr>
        <i/>
        <sz val="13"/>
        <rFont val="Arial"/>
        <family val="2"/>
      </rPr>
      <t>c</t>
    </r>
    <r>
      <rPr>
        <vertAlign val="subscript"/>
        <sz val="13"/>
        <rFont val="Arial"/>
        <family val="2"/>
      </rPr>
      <t>b1</t>
    </r>
  </si>
  <si>
    <r>
      <t xml:space="preserve"> </t>
    </r>
    <r>
      <rPr>
        <i/>
        <sz val="13"/>
        <rFont val="Arial"/>
        <family val="2"/>
      </rPr>
      <t>R</t>
    </r>
    <r>
      <rPr>
        <vertAlign val="subscript"/>
        <sz val="13"/>
        <rFont val="Arial"/>
        <family val="2"/>
      </rPr>
      <t>b11</t>
    </r>
  </si>
  <si>
    <r>
      <t xml:space="preserve"> </t>
    </r>
    <r>
      <rPr>
        <i/>
        <sz val="13"/>
        <rFont val="Arial"/>
        <family val="2"/>
      </rPr>
      <t>R</t>
    </r>
    <r>
      <rPr>
        <vertAlign val="subscript"/>
        <sz val="13"/>
        <rFont val="Arial"/>
        <family val="2"/>
      </rPr>
      <t>b12</t>
    </r>
  </si>
  <si>
    <r>
      <t xml:space="preserve"> </t>
    </r>
    <r>
      <rPr>
        <i/>
        <sz val="13"/>
        <rFont val="Arial"/>
        <family val="2"/>
      </rPr>
      <t>R</t>
    </r>
    <r>
      <rPr>
        <vertAlign val="subscript"/>
        <sz val="13"/>
        <rFont val="Arial"/>
        <family val="2"/>
      </rPr>
      <t>b13</t>
    </r>
  </si>
  <si>
    <r>
      <t xml:space="preserve"> </t>
    </r>
    <r>
      <rPr>
        <i/>
        <sz val="13"/>
        <rFont val="Arial"/>
        <family val="2"/>
      </rPr>
      <t>R</t>
    </r>
    <r>
      <rPr>
        <vertAlign val="subscript"/>
        <sz val="13"/>
        <rFont val="Arial"/>
        <family val="2"/>
      </rPr>
      <t>b14</t>
    </r>
  </si>
  <si>
    <r>
      <t xml:space="preserve"> </t>
    </r>
    <r>
      <rPr>
        <i/>
        <sz val="13"/>
        <rFont val="Arial"/>
        <family val="2"/>
      </rPr>
      <t>L</t>
    </r>
    <r>
      <rPr>
        <vertAlign val="subscript"/>
        <sz val="13"/>
        <rFont val="Arial"/>
        <family val="2"/>
      </rPr>
      <t>b11</t>
    </r>
  </si>
  <si>
    <r>
      <t xml:space="preserve"> </t>
    </r>
    <r>
      <rPr>
        <i/>
        <sz val="13"/>
        <rFont val="Arial"/>
        <family val="2"/>
      </rPr>
      <t>L</t>
    </r>
    <r>
      <rPr>
        <vertAlign val="subscript"/>
        <sz val="13"/>
        <rFont val="Arial"/>
        <family val="2"/>
      </rPr>
      <t>b12</t>
    </r>
  </si>
  <si>
    <r>
      <rPr>
        <i/>
        <sz val="13"/>
        <rFont val="Arial"/>
        <family val="2"/>
      </rPr>
      <t xml:space="preserve"> L</t>
    </r>
    <r>
      <rPr>
        <vertAlign val="subscript"/>
        <sz val="13"/>
        <rFont val="Arial"/>
        <family val="2"/>
      </rPr>
      <t>b13</t>
    </r>
  </si>
  <si>
    <r>
      <t xml:space="preserve"> </t>
    </r>
    <r>
      <rPr>
        <i/>
        <sz val="13"/>
        <rFont val="Arial"/>
        <family val="2"/>
      </rPr>
      <t>L</t>
    </r>
    <r>
      <rPr>
        <vertAlign val="subscript"/>
        <sz val="13"/>
        <rFont val="Arial"/>
        <family val="2"/>
      </rPr>
      <t>b14</t>
    </r>
  </si>
  <si>
    <r>
      <t xml:space="preserve"> </t>
    </r>
    <r>
      <rPr>
        <i/>
        <sz val="13"/>
        <rFont val="Arial"/>
        <family val="2"/>
      </rPr>
      <t>c</t>
    </r>
    <r>
      <rPr>
        <vertAlign val="subscript"/>
        <sz val="13"/>
        <rFont val="Arial"/>
        <family val="2"/>
      </rPr>
      <t>b2</t>
    </r>
  </si>
  <si>
    <r>
      <t xml:space="preserve"> </t>
    </r>
    <r>
      <rPr>
        <i/>
        <sz val="13"/>
        <rFont val="Arial"/>
        <family val="2"/>
      </rPr>
      <t>R</t>
    </r>
    <r>
      <rPr>
        <vertAlign val="subscript"/>
        <sz val="13"/>
        <rFont val="Arial"/>
        <family val="2"/>
      </rPr>
      <t>b21</t>
    </r>
  </si>
  <si>
    <r>
      <t xml:space="preserve"> </t>
    </r>
    <r>
      <rPr>
        <i/>
        <sz val="13"/>
        <rFont val="Arial"/>
        <family val="2"/>
      </rPr>
      <t>R</t>
    </r>
    <r>
      <rPr>
        <vertAlign val="subscript"/>
        <sz val="13"/>
        <rFont val="Arial"/>
        <family val="2"/>
      </rPr>
      <t>b22</t>
    </r>
  </si>
  <si>
    <r>
      <t xml:space="preserve"> </t>
    </r>
    <r>
      <rPr>
        <i/>
        <sz val="13"/>
        <rFont val="Arial"/>
        <family val="2"/>
      </rPr>
      <t>R</t>
    </r>
    <r>
      <rPr>
        <vertAlign val="subscript"/>
        <sz val="13"/>
        <rFont val="Arial"/>
        <family val="2"/>
      </rPr>
      <t>b23</t>
    </r>
  </si>
  <si>
    <r>
      <rPr>
        <i/>
        <sz val="13"/>
        <rFont val="Arial"/>
        <family val="2"/>
      </rPr>
      <t xml:space="preserve"> R</t>
    </r>
    <r>
      <rPr>
        <vertAlign val="subscript"/>
        <sz val="13"/>
        <rFont val="Arial"/>
        <family val="2"/>
      </rPr>
      <t>b24</t>
    </r>
  </si>
  <si>
    <r>
      <t xml:space="preserve"> </t>
    </r>
    <r>
      <rPr>
        <i/>
        <sz val="13"/>
        <rFont val="Arial"/>
        <family val="2"/>
      </rPr>
      <t>L</t>
    </r>
    <r>
      <rPr>
        <vertAlign val="subscript"/>
        <sz val="13"/>
        <rFont val="Arial"/>
        <family val="2"/>
      </rPr>
      <t>b21</t>
    </r>
  </si>
  <si>
    <r>
      <t xml:space="preserve"> </t>
    </r>
    <r>
      <rPr>
        <i/>
        <sz val="13"/>
        <rFont val="Arial"/>
        <family val="2"/>
      </rPr>
      <t>L</t>
    </r>
    <r>
      <rPr>
        <vertAlign val="subscript"/>
        <sz val="13"/>
        <rFont val="Arial"/>
        <family val="2"/>
      </rPr>
      <t>b22</t>
    </r>
  </si>
  <si>
    <r>
      <t xml:space="preserve"> </t>
    </r>
    <r>
      <rPr>
        <i/>
        <sz val="13"/>
        <rFont val="Arial"/>
        <family val="2"/>
      </rPr>
      <t>L</t>
    </r>
    <r>
      <rPr>
        <vertAlign val="subscript"/>
        <sz val="13"/>
        <rFont val="Arial"/>
        <family val="2"/>
      </rPr>
      <t>b23</t>
    </r>
  </si>
  <si>
    <r>
      <t xml:space="preserve"> </t>
    </r>
    <r>
      <rPr>
        <i/>
        <sz val="13"/>
        <rFont val="Arial"/>
        <family val="2"/>
      </rPr>
      <t>L</t>
    </r>
    <r>
      <rPr>
        <vertAlign val="subscript"/>
        <sz val="13"/>
        <rFont val="Arial"/>
        <family val="2"/>
      </rPr>
      <t>b24</t>
    </r>
  </si>
  <si>
    <r>
      <t xml:space="preserve"> </t>
    </r>
    <r>
      <rPr>
        <i/>
        <sz val="13"/>
        <rFont val="Arial"/>
        <family val="2"/>
      </rPr>
      <t>K</t>
    </r>
    <r>
      <rPr>
        <vertAlign val="subscript"/>
        <sz val="13"/>
        <rFont val="Arial"/>
        <family val="2"/>
      </rPr>
      <t>C11</t>
    </r>
  </si>
  <si>
    <r>
      <t xml:space="preserve"> </t>
    </r>
    <r>
      <rPr>
        <i/>
        <sz val="13"/>
        <rFont val="Arial"/>
        <family val="2"/>
      </rPr>
      <t>K</t>
    </r>
    <r>
      <rPr>
        <vertAlign val="subscript"/>
        <sz val="13"/>
        <rFont val="Arial"/>
        <family val="2"/>
      </rPr>
      <t>C12</t>
    </r>
  </si>
  <si>
    <r>
      <t xml:space="preserve"> </t>
    </r>
    <r>
      <rPr>
        <i/>
        <sz val="13"/>
        <rFont val="Arial"/>
        <family val="2"/>
      </rPr>
      <t>K</t>
    </r>
    <r>
      <rPr>
        <vertAlign val="subscript"/>
        <sz val="13"/>
        <rFont val="Arial"/>
        <family val="2"/>
      </rPr>
      <t>C13</t>
    </r>
  </si>
  <si>
    <r>
      <t xml:space="preserve"> </t>
    </r>
    <r>
      <rPr>
        <i/>
        <sz val="13"/>
        <rFont val="Arial"/>
        <family val="2"/>
      </rPr>
      <t>K</t>
    </r>
    <r>
      <rPr>
        <vertAlign val="subscript"/>
        <sz val="13"/>
        <rFont val="Arial"/>
        <family val="2"/>
      </rPr>
      <t>C14</t>
    </r>
  </si>
  <si>
    <r>
      <t xml:space="preserve"> </t>
    </r>
    <r>
      <rPr>
        <i/>
        <sz val="13"/>
        <rFont val="Arial"/>
        <family val="2"/>
      </rPr>
      <t>K</t>
    </r>
    <r>
      <rPr>
        <vertAlign val="subscript"/>
        <sz val="13"/>
        <rFont val="Arial"/>
        <family val="2"/>
      </rPr>
      <t>CoutA</t>
    </r>
  </si>
  <si>
    <r>
      <t xml:space="preserve"> </t>
    </r>
    <r>
      <rPr>
        <i/>
        <sz val="13"/>
        <rFont val="Arial"/>
        <family val="2"/>
      </rPr>
      <t>K</t>
    </r>
    <r>
      <rPr>
        <vertAlign val="subscript"/>
        <sz val="13"/>
        <rFont val="Arial"/>
        <family val="2"/>
      </rPr>
      <t>Crown</t>
    </r>
  </si>
  <si>
    <r>
      <t xml:space="preserve"> </t>
    </r>
    <r>
      <rPr>
        <i/>
        <sz val="13"/>
        <rFont val="Arial"/>
        <family val="2"/>
      </rPr>
      <t>K</t>
    </r>
    <r>
      <rPr>
        <vertAlign val="subscript"/>
        <sz val="13"/>
        <rFont val="Arial"/>
        <family val="2"/>
      </rPr>
      <t>C21</t>
    </r>
  </si>
  <si>
    <r>
      <t xml:space="preserve"> </t>
    </r>
    <r>
      <rPr>
        <i/>
        <sz val="13"/>
        <rFont val="Arial"/>
        <family val="2"/>
      </rPr>
      <t>K</t>
    </r>
    <r>
      <rPr>
        <vertAlign val="subscript"/>
        <sz val="13"/>
        <rFont val="Arial"/>
        <family val="2"/>
      </rPr>
      <t>C22</t>
    </r>
  </si>
  <si>
    <r>
      <t xml:space="preserve"> </t>
    </r>
    <r>
      <rPr>
        <i/>
        <sz val="13"/>
        <rFont val="Arial"/>
        <family val="2"/>
      </rPr>
      <t>K</t>
    </r>
    <r>
      <rPr>
        <vertAlign val="subscript"/>
        <sz val="13"/>
        <rFont val="Arial"/>
        <family val="2"/>
      </rPr>
      <t>C23</t>
    </r>
  </si>
  <si>
    <r>
      <t xml:space="preserve"> </t>
    </r>
    <r>
      <rPr>
        <i/>
        <sz val="13"/>
        <rFont val="Arial"/>
        <family val="2"/>
      </rPr>
      <t>K</t>
    </r>
    <r>
      <rPr>
        <vertAlign val="subscript"/>
        <sz val="13"/>
        <rFont val="Arial"/>
        <family val="2"/>
      </rPr>
      <t>C24</t>
    </r>
  </si>
  <si>
    <r>
      <rPr>
        <i/>
        <sz val="13"/>
        <rFont val="Arial"/>
        <family val="2"/>
      </rPr>
      <t xml:space="preserve"> K</t>
    </r>
    <r>
      <rPr>
        <vertAlign val="subscript"/>
        <sz val="13"/>
        <rFont val="Arial"/>
        <family val="2"/>
      </rPr>
      <t>CinA</t>
    </r>
  </si>
  <si>
    <r>
      <rPr>
        <i/>
        <sz val="13"/>
        <rFont val="Arial"/>
        <family val="2"/>
      </rPr>
      <t>ζ</t>
    </r>
    <r>
      <rPr>
        <vertAlign val="subscript"/>
        <sz val="13"/>
        <rFont val="Arial"/>
        <family val="2"/>
      </rPr>
      <t xml:space="preserve">k1 </t>
    </r>
  </si>
  <si>
    <r>
      <rPr>
        <i/>
        <sz val="13"/>
        <rFont val="Arial"/>
        <family val="2"/>
      </rPr>
      <t>ζ</t>
    </r>
    <r>
      <rPr>
        <vertAlign val="subscript"/>
        <sz val="13"/>
        <rFont val="Arial"/>
        <family val="2"/>
      </rPr>
      <t xml:space="preserve">k2 </t>
    </r>
  </si>
  <si>
    <r>
      <rPr>
        <i/>
        <sz val="13"/>
        <rFont val="Arial"/>
        <family val="2"/>
      </rPr>
      <t>ζ</t>
    </r>
    <r>
      <rPr>
        <vertAlign val="subscript"/>
        <sz val="13"/>
        <rFont val="Arial"/>
        <family val="2"/>
      </rPr>
      <t>f</t>
    </r>
    <r>
      <rPr>
        <sz val="13"/>
        <rFont val="Arial"/>
        <family val="2"/>
      </rPr>
      <t xml:space="preserve"> </t>
    </r>
  </si>
  <si>
    <r>
      <rPr>
        <i/>
        <sz val="13"/>
        <rFont val="Arial"/>
        <family val="2"/>
      </rPr>
      <t>ζ</t>
    </r>
    <r>
      <rPr>
        <vertAlign val="subscript"/>
        <sz val="13"/>
        <rFont val="Arial"/>
        <family val="2"/>
      </rPr>
      <t xml:space="preserve">kS </t>
    </r>
  </si>
  <si>
    <r>
      <t xml:space="preserve"> </t>
    </r>
    <r>
      <rPr>
        <i/>
        <sz val="13"/>
        <rFont val="Arial"/>
        <family val="2"/>
      </rPr>
      <t>K</t>
    </r>
    <r>
      <rPr>
        <vertAlign val="subscript"/>
        <sz val="13"/>
        <rFont val="Arial"/>
        <family val="2"/>
      </rPr>
      <t>A</t>
    </r>
  </si>
  <si>
    <r>
      <t xml:space="preserve"> </t>
    </r>
    <r>
      <rPr>
        <i/>
        <sz val="13"/>
        <rFont val="Arial"/>
        <family val="2"/>
      </rPr>
      <t>K</t>
    </r>
    <r>
      <rPr>
        <vertAlign val="subscript"/>
        <sz val="13"/>
        <rFont val="Arial"/>
        <family val="2"/>
      </rPr>
      <t>B11</t>
    </r>
  </si>
  <si>
    <r>
      <t xml:space="preserve"> </t>
    </r>
    <r>
      <rPr>
        <i/>
        <sz val="13"/>
        <rFont val="Arial"/>
        <family val="2"/>
      </rPr>
      <t>K</t>
    </r>
    <r>
      <rPr>
        <vertAlign val="subscript"/>
        <sz val="13"/>
        <rFont val="Arial"/>
        <family val="2"/>
      </rPr>
      <t>B12</t>
    </r>
  </si>
  <si>
    <r>
      <t xml:space="preserve"> </t>
    </r>
    <r>
      <rPr>
        <i/>
        <sz val="13"/>
        <rFont val="Arial"/>
        <family val="2"/>
      </rPr>
      <t>K</t>
    </r>
    <r>
      <rPr>
        <vertAlign val="subscript"/>
        <sz val="13"/>
        <rFont val="Arial"/>
        <family val="2"/>
      </rPr>
      <t>B13</t>
    </r>
  </si>
  <si>
    <r>
      <t xml:space="preserve"> </t>
    </r>
    <r>
      <rPr>
        <i/>
        <sz val="13"/>
        <rFont val="Arial"/>
        <family val="2"/>
      </rPr>
      <t>K</t>
    </r>
    <r>
      <rPr>
        <vertAlign val="subscript"/>
        <sz val="13"/>
        <rFont val="Arial"/>
        <family val="2"/>
      </rPr>
      <t>B14</t>
    </r>
  </si>
  <si>
    <r>
      <t xml:space="preserve"> </t>
    </r>
    <r>
      <rPr>
        <i/>
        <sz val="13"/>
        <rFont val="Arial"/>
        <family val="2"/>
      </rPr>
      <t>K</t>
    </r>
    <r>
      <rPr>
        <vertAlign val="subscript"/>
        <sz val="13"/>
        <rFont val="Arial"/>
        <family val="2"/>
      </rPr>
      <t>BoutA</t>
    </r>
  </si>
  <si>
    <r>
      <t xml:space="preserve"> </t>
    </r>
    <r>
      <rPr>
        <i/>
        <sz val="13"/>
        <rFont val="Arial"/>
        <family val="2"/>
      </rPr>
      <t>K</t>
    </r>
    <r>
      <rPr>
        <vertAlign val="subscript"/>
        <sz val="13"/>
        <rFont val="Arial"/>
        <family val="2"/>
      </rPr>
      <t>Band</t>
    </r>
  </si>
  <si>
    <r>
      <t xml:space="preserve"> </t>
    </r>
    <r>
      <rPr>
        <i/>
        <sz val="13"/>
        <rFont val="Arial"/>
        <family val="2"/>
      </rPr>
      <t>K</t>
    </r>
    <r>
      <rPr>
        <vertAlign val="subscript"/>
        <sz val="13"/>
        <rFont val="Arial"/>
        <family val="2"/>
      </rPr>
      <t>B21</t>
    </r>
  </si>
  <si>
    <r>
      <t xml:space="preserve"> </t>
    </r>
    <r>
      <rPr>
        <i/>
        <sz val="13"/>
        <rFont val="Arial"/>
        <family val="2"/>
      </rPr>
      <t>K</t>
    </r>
    <r>
      <rPr>
        <vertAlign val="subscript"/>
        <sz val="13"/>
        <rFont val="Arial"/>
        <family val="2"/>
      </rPr>
      <t>B22</t>
    </r>
  </si>
  <si>
    <r>
      <t xml:space="preserve"> </t>
    </r>
    <r>
      <rPr>
        <i/>
        <sz val="13"/>
        <rFont val="Arial"/>
        <family val="2"/>
      </rPr>
      <t>K</t>
    </r>
    <r>
      <rPr>
        <vertAlign val="subscript"/>
        <sz val="13"/>
        <rFont val="Arial"/>
        <family val="2"/>
      </rPr>
      <t>B23</t>
    </r>
  </si>
  <si>
    <r>
      <t xml:space="preserve"> </t>
    </r>
    <r>
      <rPr>
        <i/>
        <sz val="13"/>
        <rFont val="Arial"/>
        <family val="2"/>
      </rPr>
      <t>K</t>
    </r>
    <r>
      <rPr>
        <vertAlign val="subscript"/>
        <sz val="13"/>
        <rFont val="Arial"/>
        <family val="2"/>
      </rPr>
      <t>B24</t>
    </r>
  </si>
  <si>
    <r>
      <t xml:space="preserve"> </t>
    </r>
    <r>
      <rPr>
        <i/>
        <sz val="13"/>
        <rFont val="Arial"/>
        <family val="2"/>
      </rPr>
      <t>K</t>
    </r>
    <r>
      <rPr>
        <vertAlign val="subscript"/>
        <sz val="13"/>
        <rFont val="Arial"/>
        <family val="2"/>
      </rPr>
      <t>BinA</t>
    </r>
  </si>
  <si>
    <r>
      <t xml:space="preserve"> </t>
    </r>
    <r>
      <rPr>
        <i/>
        <sz val="13"/>
        <rFont val="Arial"/>
        <family val="2"/>
      </rPr>
      <t>K</t>
    </r>
    <r>
      <rPr>
        <vertAlign val="subscript"/>
        <sz val="13"/>
        <rFont val="Arial"/>
        <family val="2"/>
      </rPr>
      <t>CoutB</t>
    </r>
  </si>
  <si>
    <r>
      <t xml:space="preserve"> K</t>
    </r>
    <r>
      <rPr>
        <vertAlign val="subscript"/>
        <sz val="13"/>
        <rFont val="Arial"/>
        <family val="2"/>
      </rPr>
      <t>C24</t>
    </r>
  </si>
  <si>
    <r>
      <t xml:space="preserve"> K</t>
    </r>
    <r>
      <rPr>
        <vertAlign val="subscript"/>
        <sz val="13"/>
        <rFont val="Arial"/>
        <family val="2"/>
      </rPr>
      <t>CinB</t>
    </r>
  </si>
  <si>
    <r>
      <t xml:space="preserve"> </t>
    </r>
    <r>
      <rPr>
        <i/>
        <sz val="13"/>
        <rFont val="Arial"/>
        <family val="2"/>
      </rPr>
      <t>K</t>
    </r>
    <r>
      <rPr>
        <vertAlign val="subscript"/>
        <sz val="13"/>
        <rFont val="Arial"/>
        <family val="2"/>
      </rPr>
      <t>BoutB</t>
    </r>
  </si>
  <si>
    <r>
      <t xml:space="preserve"> </t>
    </r>
    <r>
      <rPr>
        <i/>
        <sz val="13"/>
        <rFont val="Arial"/>
        <family val="2"/>
      </rPr>
      <t>K</t>
    </r>
    <r>
      <rPr>
        <vertAlign val="subscript"/>
        <sz val="13"/>
        <rFont val="Arial"/>
        <family val="2"/>
      </rPr>
      <t>BinB</t>
    </r>
  </si>
  <si>
    <r>
      <t xml:space="preserve"> </t>
    </r>
    <r>
      <rPr>
        <i/>
        <sz val="13"/>
        <rFont val="Arial"/>
        <family val="2"/>
      </rPr>
      <t>K</t>
    </r>
    <r>
      <rPr>
        <vertAlign val="subscript"/>
        <sz val="13"/>
        <rFont val="Arial"/>
        <family val="2"/>
      </rPr>
      <t>B</t>
    </r>
  </si>
  <si>
    <r>
      <t xml:space="preserve"> </t>
    </r>
    <r>
      <rPr>
        <i/>
        <sz val="13"/>
        <rFont val="Arial"/>
        <family val="2"/>
      </rPr>
      <t>η</t>
    </r>
    <r>
      <rPr>
        <vertAlign val="subscript"/>
        <sz val="13"/>
        <rFont val="Arial"/>
        <family val="2"/>
      </rPr>
      <t xml:space="preserve">QA     </t>
    </r>
    <r>
      <rPr>
        <sz val="13"/>
        <rFont val="Arial"/>
        <family val="2"/>
      </rPr>
      <t>(%)</t>
    </r>
  </si>
  <si>
    <r>
      <t xml:space="preserve">  1-</t>
    </r>
    <r>
      <rPr>
        <i/>
        <sz val="13"/>
        <rFont val="Arial"/>
        <family val="2"/>
      </rPr>
      <t>η</t>
    </r>
    <r>
      <rPr>
        <vertAlign val="subscript"/>
        <sz val="13"/>
        <rFont val="Arial"/>
        <family val="2"/>
      </rPr>
      <t>QA</t>
    </r>
  </si>
  <si>
    <r>
      <t xml:space="preserve"> </t>
    </r>
    <r>
      <rPr>
        <i/>
        <sz val="13"/>
        <rFont val="Arial"/>
        <family val="2"/>
      </rPr>
      <t>Δ</t>
    </r>
    <r>
      <rPr>
        <vertAlign val="subscript"/>
        <sz val="13"/>
        <rFont val="Arial"/>
        <family val="2"/>
      </rPr>
      <t>QA-&gt;B</t>
    </r>
  </si>
  <si>
    <r>
      <t xml:space="preserve"> </t>
    </r>
    <r>
      <rPr>
        <b/>
        <sz val="13"/>
        <rFont val="Arial"/>
        <family val="2"/>
      </rPr>
      <t xml:space="preserve"> </t>
    </r>
    <r>
      <rPr>
        <b/>
        <i/>
        <sz val="13"/>
        <rFont val="Arial"/>
        <family val="2"/>
      </rPr>
      <t>Q</t>
    </r>
    <r>
      <rPr>
        <b/>
        <vertAlign val="subscript"/>
        <sz val="13"/>
        <rFont val="Arial"/>
        <family val="2"/>
      </rPr>
      <t>1B</t>
    </r>
    <r>
      <rPr>
        <b/>
        <i/>
        <vertAlign val="subscript"/>
        <sz val="13"/>
        <rFont val="Arial"/>
        <family val="2"/>
      </rPr>
      <t>i</t>
    </r>
    <r>
      <rPr>
        <b/>
        <sz val="13"/>
        <rFont val="Arial"/>
        <family val="2"/>
      </rPr>
      <t xml:space="preserve"> </t>
    </r>
    <r>
      <rPr>
        <sz val="11"/>
        <rFont val="Arial"/>
        <family val="2"/>
      </rPr>
      <t/>
    </r>
  </si>
  <si>
    <r>
      <rPr>
        <b/>
        <sz val="13"/>
        <rFont val="Arial"/>
        <family val="2"/>
      </rPr>
      <t xml:space="preserve"> </t>
    </r>
    <r>
      <rPr>
        <b/>
        <i/>
        <sz val="13"/>
        <rFont val="Arial"/>
        <family val="2"/>
      </rPr>
      <t xml:space="preserve"> Q</t>
    </r>
    <r>
      <rPr>
        <b/>
        <vertAlign val="subscript"/>
        <sz val="13"/>
        <rFont val="Arial"/>
        <family val="2"/>
      </rPr>
      <t>1Bopt</t>
    </r>
    <r>
      <rPr>
        <i/>
        <sz val="11"/>
        <rFont val="Arial"/>
        <family val="2"/>
      </rPr>
      <t/>
    </r>
  </si>
  <si>
    <r>
      <t xml:space="preserve">  </t>
    </r>
    <r>
      <rPr>
        <i/>
        <sz val="13"/>
        <rFont val="Arial"/>
        <family val="2"/>
      </rPr>
      <t>D</t>
    </r>
    <r>
      <rPr>
        <vertAlign val="subscript"/>
        <sz val="13"/>
        <rFont val="Arial"/>
        <family val="2"/>
      </rPr>
      <t>A</t>
    </r>
  </si>
  <si>
    <r>
      <t xml:space="preserve">  </t>
    </r>
    <r>
      <rPr>
        <i/>
        <sz val="13"/>
        <rFont val="Arial"/>
        <family val="2"/>
      </rPr>
      <t>Re</t>
    </r>
    <r>
      <rPr>
        <vertAlign val="subscript"/>
        <sz val="13"/>
        <rFont val="Arial"/>
        <family val="2"/>
      </rPr>
      <t>Ai</t>
    </r>
  </si>
  <si>
    <r>
      <t xml:space="preserve">  </t>
    </r>
    <r>
      <rPr>
        <i/>
        <sz val="13"/>
        <rFont val="Arial"/>
        <family val="2"/>
      </rPr>
      <t>D</t>
    </r>
    <r>
      <rPr>
        <vertAlign val="subscript"/>
        <sz val="13"/>
        <rFont val="Arial"/>
        <family val="2"/>
      </rPr>
      <t>B</t>
    </r>
  </si>
  <si>
    <r>
      <t xml:space="preserve">  </t>
    </r>
    <r>
      <rPr>
        <i/>
        <sz val="13"/>
        <rFont val="Arial"/>
        <family val="2"/>
      </rPr>
      <t>n</t>
    </r>
    <r>
      <rPr>
        <vertAlign val="subscript"/>
        <sz val="13"/>
        <rFont val="Arial"/>
        <family val="2"/>
      </rPr>
      <t>Aopt</t>
    </r>
    <r>
      <rPr>
        <sz val="13"/>
        <rFont val="Arial"/>
        <family val="2"/>
      </rPr>
      <t xml:space="preserve"> </t>
    </r>
  </si>
  <si>
    <r>
      <t xml:space="preserve">  </t>
    </r>
    <r>
      <rPr>
        <i/>
        <sz val="13"/>
        <rFont val="Arial"/>
        <family val="2"/>
      </rPr>
      <t>Q</t>
    </r>
    <r>
      <rPr>
        <vertAlign val="subscript"/>
        <sz val="13"/>
        <rFont val="Arial"/>
        <family val="2"/>
      </rPr>
      <t>1Aopt</t>
    </r>
  </si>
  <si>
    <r>
      <t xml:space="preserve">  </t>
    </r>
    <r>
      <rPr>
        <i/>
        <sz val="13"/>
        <rFont val="Arial"/>
        <family val="2"/>
      </rPr>
      <t>E</t>
    </r>
    <r>
      <rPr>
        <vertAlign val="subscript"/>
        <sz val="13"/>
        <rFont val="Arial"/>
        <family val="2"/>
      </rPr>
      <t xml:space="preserve">Aopt </t>
    </r>
  </si>
  <si>
    <r>
      <rPr>
        <i/>
        <sz val="13"/>
        <rFont val="Arial"/>
        <family val="2"/>
      </rPr>
      <t xml:space="preserve"> η</t>
    </r>
    <r>
      <rPr>
        <vertAlign val="subscript"/>
        <sz val="13"/>
        <rFont val="Arial"/>
        <family val="2"/>
      </rPr>
      <t>hAopt</t>
    </r>
  </si>
  <si>
    <r>
      <t xml:space="preserve">  </t>
    </r>
    <r>
      <rPr>
        <i/>
        <sz val="13"/>
        <rFont val="Arial"/>
        <family val="2"/>
      </rPr>
      <t>t</t>
    </r>
    <r>
      <rPr>
        <vertAlign val="subscript"/>
        <sz val="13"/>
        <rFont val="Arial"/>
        <family val="2"/>
      </rPr>
      <t>WAopt</t>
    </r>
    <r>
      <rPr>
        <sz val="13"/>
        <rFont val="Arial"/>
        <family val="2"/>
      </rPr>
      <t xml:space="preserve"> </t>
    </r>
  </si>
  <si>
    <r>
      <rPr>
        <sz val="13"/>
        <rFont val="Times New Roman"/>
        <family val="1"/>
      </rPr>
      <t xml:space="preserve"> ν</t>
    </r>
    <r>
      <rPr>
        <vertAlign val="subscript"/>
        <sz val="13"/>
        <rFont val="Arial"/>
        <family val="2"/>
      </rPr>
      <t>Aopt</t>
    </r>
  </si>
  <si>
    <r>
      <t xml:space="preserve">  </t>
    </r>
    <r>
      <rPr>
        <i/>
        <sz val="13"/>
        <rFont val="Arial"/>
        <family val="2"/>
      </rPr>
      <t>n</t>
    </r>
    <r>
      <rPr>
        <vertAlign val="subscript"/>
        <sz val="13"/>
        <rFont val="Arial"/>
        <family val="2"/>
      </rPr>
      <t>Ai</t>
    </r>
    <r>
      <rPr>
        <sz val="13"/>
        <rFont val="Arial"/>
        <family val="2"/>
      </rPr>
      <t xml:space="preserve"> </t>
    </r>
  </si>
  <si>
    <r>
      <t xml:space="preserve">  </t>
    </r>
    <r>
      <rPr>
        <i/>
        <sz val="13"/>
        <rFont val="Arial"/>
        <family val="2"/>
      </rPr>
      <t>Q</t>
    </r>
    <r>
      <rPr>
        <vertAlign val="subscript"/>
        <sz val="13"/>
        <rFont val="Arial"/>
        <family val="2"/>
      </rPr>
      <t>1Ai</t>
    </r>
  </si>
  <si>
    <r>
      <t xml:space="preserve">  </t>
    </r>
    <r>
      <rPr>
        <i/>
        <sz val="13"/>
        <rFont val="Arial"/>
        <family val="2"/>
      </rPr>
      <t>E</t>
    </r>
    <r>
      <rPr>
        <vertAlign val="subscript"/>
        <sz val="13"/>
        <rFont val="Arial"/>
        <family val="2"/>
      </rPr>
      <t>Ai</t>
    </r>
  </si>
  <si>
    <r>
      <t xml:space="preserve"> </t>
    </r>
    <r>
      <rPr>
        <i/>
        <sz val="13"/>
        <rFont val="Calibri"/>
        <family val="2"/>
      </rPr>
      <t>η</t>
    </r>
    <r>
      <rPr>
        <vertAlign val="subscript"/>
        <sz val="13"/>
        <rFont val="Arial"/>
        <family val="2"/>
      </rPr>
      <t>hAi</t>
    </r>
  </si>
  <si>
    <r>
      <t xml:space="preserve"> </t>
    </r>
    <r>
      <rPr>
        <i/>
        <sz val="13"/>
        <rFont val="Arial"/>
        <family val="2"/>
      </rPr>
      <t xml:space="preserve"> t</t>
    </r>
    <r>
      <rPr>
        <vertAlign val="subscript"/>
        <sz val="13"/>
        <rFont val="Arial"/>
        <family val="2"/>
      </rPr>
      <t>WAi</t>
    </r>
  </si>
  <si>
    <r>
      <t xml:space="preserve">  </t>
    </r>
    <r>
      <rPr>
        <sz val="13"/>
        <rFont val="Times New Roman"/>
        <family val="1"/>
      </rPr>
      <t>ν</t>
    </r>
    <r>
      <rPr>
        <vertAlign val="subscript"/>
        <sz val="13"/>
        <rFont val="Arial"/>
        <family val="2"/>
      </rPr>
      <t>Ai</t>
    </r>
  </si>
  <si>
    <r>
      <t xml:space="preserve"> </t>
    </r>
    <r>
      <rPr>
        <i/>
        <sz val="13"/>
        <rFont val="Arial"/>
        <family val="2"/>
      </rPr>
      <t xml:space="preserve"> Ra</t>
    </r>
    <r>
      <rPr>
        <vertAlign val="subscript"/>
        <sz val="13"/>
        <rFont val="Arial"/>
        <family val="2"/>
      </rPr>
      <t>SPA</t>
    </r>
  </si>
  <si>
    <r>
      <t xml:space="preserve">  </t>
    </r>
    <r>
      <rPr>
        <i/>
        <sz val="13"/>
        <rFont val="Arial"/>
        <family val="2"/>
      </rPr>
      <t>Ra</t>
    </r>
    <r>
      <rPr>
        <vertAlign val="subscript"/>
        <sz val="13"/>
        <rFont val="Arial"/>
        <family val="2"/>
      </rPr>
      <t>SVA</t>
    </r>
  </si>
  <si>
    <r>
      <t xml:space="preserve">  </t>
    </r>
    <r>
      <rPr>
        <i/>
        <sz val="13"/>
        <rFont val="Arial"/>
        <family val="2"/>
      </rPr>
      <t>Ra</t>
    </r>
    <r>
      <rPr>
        <vertAlign val="subscript"/>
        <sz val="13"/>
        <rFont val="Arial"/>
        <family val="2"/>
      </rPr>
      <t>GVA</t>
    </r>
  </si>
  <si>
    <r>
      <t xml:space="preserve">  </t>
    </r>
    <r>
      <rPr>
        <i/>
        <sz val="13"/>
        <rFont val="Arial"/>
        <family val="2"/>
      </rPr>
      <t>Ra</t>
    </r>
    <r>
      <rPr>
        <vertAlign val="subscript"/>
        <sz val="13"/>
        <rFont val="Arial"/>
        <family val="2"/>
      </rPr>
      <t>RUA</t>
    </r>
  </si>
  <si>
    <r>
      <t xml:space="preserve">  </t>
    </r>
    <r>
      <rPr>
        <i/>
        <sz val="13"/>
        <rFont val="Arial"/>
        <family val="2"/>
      </rPr>
      <t>Ra</t>
    </r>
    <r>
      <rPr>
        <vertAlign val="subscript"/>
        <sz val="13"/>
        <rFont val="Arial"/>
        <family val="2"/>
      </rPr>
      <t>DTMA</t>
    </r>
  </si>
  <si>
    <r>
      <t xml:space="preserve">  </t>
    </r>
    <r>
      <rPr>
        <i/>
        <sz val="13"/>
        <rFont val="Arial"/>
        <family val="2"/>
      </rPr>
      <t>n</t>
    </r>
    <r>
      <rPr>
        <vertAlign val="subscript"/>
        <sz val="13"/>
        <rFont val="Arial"/>
        <family val="2"/>
      </rPr>
      <t>B</t>
    </r>
    <r>
      <rPr>
        <sz val="13"/>
        <rFont val="Arial"/>
        <family val="2"/>
      </rPr>
      <t xml:space="preserve"> </t>
    </r>
  </si>
  <si>
    <r>
      <t xml:space="preserve">  </t>
    </r>
    <r>
      <rPr>
        <i/>
        <sz val="13"/>
        <rFont val="Arial"/>
        <family val="2"/>
      </rPr>
      <t>t</t>
    </r>
    <r>
      <rPr>
        <vertAlign val="subscript"/>
        <sz val="13"/>
        <rFont val="Arial"/>
        <family val="2"/>
      </rPr>
      <t>WB</t>
    </r>
    <r>
      <rPr>
        <sz val="13"/>
        <rFont val="Arial"/>
        <family val="2"/>
      </rPr>
      <t xml:space="preserve"> </t>
    </r>
  </si>
  <si>
    <r>
      <t xml:space="preserve"> </t>
    </r>
    <r>
      <rPr>
        <i/>
        <sz val="13"/>
        <rFont val="Arial"/>
        <family val="2"/>
      </rPr>
      <t>Ra</t>
    </r>
    <r>
      <rPr>
        <vertAlign val="subscript"/>
        <sz val="13"/>
        <rFont val="Arial"/>
        <family val="2"/>
      </rPr>
      <t>SPB</t>
    </r>
  </si>
  <si>
    <r>
      <t xml:space="preserve"> </t>
    </r>
    <r>
      <rPr>
        <i/>
        <sz val="13"/>
        <rFont val="Arial"/>
        <family val="2"/>
      </rPr>
      <t>Ra</t>
    </r>
    <r>
      <rPr>
        <vertAlign val="subscript"/>
        <sz val="13"/>
        <rFont val="Arial"/>
        <family val="2"/>
      </rPr>
      <t>SVB</t>
    </r>
  </si>
  <si>
    <r>
      <t xml:space="preserve"> </t>
    </r>
    <r>
      <rPr>
        <i/>
        <sz val="13"/>
        <rFont val="Arial"/>
        <family val="2"/>
      </rPr>
      <t>Ra</t>
    </r>
    <r>
      <rPr>
        <vertAlign val="subscript"/>
        <sz val="13"/>
        <rFont val="Arial"/>
        <family val="2"/>
      </rPr>
      <t>GVB</t>
    </r>
  </si>
  <si>
    <r>
      <t xml:space="preserve"> </t>
    </r>
    <r>
      <rPr>
        <i/>
        <sz val="13"/>
        <rFont val="Arial"/>
        <family val="2"/>
      </rPr>
      <t>Ra</t>
    </r>
    <r>
      <rPr>
        <vertAlign val="subscript"/>
        <sz val="13"/>
        <rFont val="Arial"/>
        <family val="2"/>
      </rPr>
      <t>RUB</t>
    </r>
  </si>
  <si>
    <r>
      <t xml:space="preserve"> </t>
    </r>
    <r>
      <rPr>
        <i/>
        <sz val="13"/>
        <rFont val="Arial"/>
        <family val="2"/>
      </rPr>
      <t>Ra</t>
    </r>
    <r>
      <rPr>
        <vertAlign val="subscript"/>
        <sz val="13"/>
        <rFont val="Arial"/>
        <family val="2"/>
      </rPr>
      <t>DTB</t>
    </r>
  </si>
  <si>
    <r>
      <t xml:space="preserve">   </t>
    </r>
    <r>
      <rPr>
        <i/>
        <sz val="13"/>
        <rFont val="Arial"/>
        <family val="2"/>
      </rPr>
      <t>N</t>
    </r>
    <r>
      <rPr>
        <vertAlign val="subscript"/>
        <sz val="13"/>
        <rFont val="Arial"/>
        <family val="2"/>
      </rPr>
      <t>QEA-&gt;B</t>
    </r>
  </si>
  <si>
    <r>
      <t xml:space="preserve">  </t>
    </r>
    <r>
      <rPr>
        <i/>
        <sz val="13"/>
        <rFont val="Arial"/>
        <family val="2"/>
      </rPr>
      <t>u</t>
    </r>
    <r>
      <rPr>
        <vertAlign val="subscript"/>
        <sz val="13"/>
        <rFont val="Arial"/>
        <family val="2"/>
      </rPr>
      <t>A</t>
    </r>
  </si>
  <si>
    <r>
      <t xml:space="preserve">  </t>
    </r>
    <r>
      <rPr>
        <i/>
        <sz val="13"/>
        <rFont val="Arial"/>
        <family val="2"/>
      </rPr>
      <t>u</t>
    </r>
    <r>
      <rPr>
        <vertAlign val="subscript"/>
        <sz val="13"/>
        <rFont val="Arial"/>
        <family val="2"/>
      </rPr>
      <t>B</t>
    </r>
  </si>
  <si>
    <r>
      <t xml:space="preserve">  </t>
    </r>
    <r>
      <rPr>
        <i/>
        <sz val="13"/>
        <rFont val="Arial"/>
        <family val="2"/>
      </rPr>
      <t>Re</t>
    </r>
    <r>
      <rPr>
        <vertAlign val="subscript"/>
        <sz val="13"/>
        <rFont val="Arial"/>
        <family val="2"/>
      </rPr>
      <t>A</t>
    </r>
  </si>
  <si>
    <r>
      <t xml:space="preserve">  </t>
    </r>
    <r>
      <rPr>
        <i/>
        <sz val="13"/>
        <rFont val="Arial"/>
        <family val="2"/>
      </rPr>
      <t>Re</t>
    </r>
    <r>
      <rPr>
        <vertAlign val="subscript"/>
        <sz val="13"/>
        <rFont val="Arial"/>
        <family val="2"/>
      </rPr>
      <t>B</t>
    </r>
  </si>
  <si>
    <r>
      <t xml:space="preserve">  </t>
    </r>
    <r>
      <rPr>
        <i/>
        <sz val="13"/>
        <rFont val="Arial"/>
        <family val="2"/>
      </rPr>
      <t>u</t>
    </r>
    <r>
      <rPr>
        <vertAlign val="subscript"/>
        <sz val="13"/>
        <rFont val="Arial"/>
        <family val="2"/>
      </rPr>
      <t>A</t>
    </r>
    <r>
      <rPr>
        <sz val="13"/>
        <rFont val="Arial"/>
        <family val="2"/>
      </rPr>
      <t xml:space="preserve"> : Peripheral velocity at </t>
    </r>
    <r>
      <rPr>
        <i/>
        <sz val="13"/>
        <rFont val="Arial"/>
        <family val="2"/>
      </rPr>
      <t>D</t>
    </r>
    <r>
      <rPr>
        <vertAlign val="subscript"/>
        <sz val="13"/>
        <rFont val="Arial"/>
        <family val="2"/>
      </rPr>
      <t>A</t>
    </r>
  </si>
  <si>
    <r>
      <t xml:space="preserve">  </t>
    </r>
    <r>
      <rPr>
        <i/>
        <sz val="13"/>
        <rFont val="Arial"/>
        <family val="2"/>
      </rPr>
      <t>u</t>
    </r>
    <r>
      <rPr>
        <vertAlign val="subscript"/>
        <sz val="13"/>
        <rFont val="Arial"/>
        <family val="2"/>
      </rPr>
      <t>B</t>
    </r>
    <r>
      <rPr>
        <sz val="13"/>
        <rFont val="Arial"/>
        <family val="2"/>
      </rPr>
      <t xml:space="preserve"> : Peripheral velocity at </t>
    </r>
    <r>
      <rPr>
        <i/>
        <sz val="13"/>
        <rFont val="Arial"/>
        <family val="2"/>
      </rPr>
      <t>D</t>
    </r>
    <r>
      <rPr>
        <vertAlign val="subscript"/>
        <sz val="13"/>
        <rFont val="Arial"/>
        <family val="2"/>
      </rPr>
      <t>B</t>
    </r>
  </si>
  <si>
    <r>
      <t xml:space="preserve">   </t>
    </r>
    <r>
      <rPr>
        <i/>
        <sz val="13"/>
        <rFont val="Arial"/>
        <family val="2"/>
      </rPr>
      <t>Ra</t>
    </r>
    <r>
      <rPr>
        <vertAlign val="subscript"/>
        <sz val="13"/>
        <rFont val="Arial"/>
        <family val="2"/>
      </rPr>
      <t>COA</t>
    </r>
    <r>
      <rPr>
        <sz val="13"/>
        <rFont val="Arial"/>
        <family val="2"/>
      </rPr>
      <t>/</t>
    </r>
    <r>
      <rPr>
        <i/>
        <sz val="13"/>
        <rFont val="Arial"/>
        <family val="2"/>
      </rPr>
      <t>D</t>
    </r>
    <r>
      <rPr>
        <vertAlign val="subscript"/>
        <sz val="13"/>
        <rFont val="Arial"/>
        <family val="2"/>
      </rPr>
      <t>A</t>
    </r>
  </si>
  <si>
    <r>
      <t xml:space="preserve">   </t>
    </r>
    <r>
      <rPr>
        <i/>
        <sz val="13"/>
        <rFont val="Arial"/>
        <family val="2"/>
      </rPr>
      <t>Ra</t>
    </r>
    <r>
      <rPr>
        <vertAlign val="subscript"/>
        <sz val="13"/>
        <rFont val="Arial"/>
        <family val="2"/>
      </rPr>
      <t>COB</t>
    </r>
    <r>
      <rPr>
        <sz val="13"/>
        <rFont val="Arial"/>
        <family val="2"/>
      </rPr>
      <t>/</t>
    </r>
    <r>
      <rPr>
        <i/>
        <sz val="13"/>
        <rFont val="Arial"/>
        <family val="2"/>
      </rPr>
      <t>D</t>
    </r>
    <r>
      <rPr>
        <vertAlign val="subscript"/>
        <sz val="13"/>
        <rFont val="Arial"/>
        <family val="2"/>
      </rPr>
      <t>B</t>
    </r>
  </si>
  <si>
    <r>
      <t xml:space="preserve"> </t>
    </r>
    <r>
      <rPr>
        <i/>
        <sz val="13"/>
        <rFont val="Arial"/>
        <family val="2"/>
      </rPr>
      <t>d</t>
    </r>
    <r>
      <rPr>
        <vertAlign val="subscript"/>
        <sz val="13"/>
        <rFont val="Arial"/>
        <family val="2"/>
      </rPr>
      <t xml:space="preserve">ECOref  </t>
    </r>
  </si>
  <si>
    <r>
      <t xml:space="preserve"> </t>
    </r>
    <r>
      <rPr>
        <i/>
        <sz val="13"/>
        <rFont val="Arial"/>
        <family val="2"/>
      </rPr>
      <t>κ</t>
    </r>
    <r>
      <rPr>
        <vertAlign val="subscript"/>
        <sz val="13"/>
        <rFont val="Arial"/>
        <family val="2"/>
      </rPr>
      <t>uCO</t>
    </r>
  </si>
  <si>
    <r>
      <t xml:space="preserve">  </t>
    </r>
    <r>
      <rPr>
        <i/>
        <sz val="13"/>
        <rFont val="Arial"/>
        <family val="2"/>
      </rPr>
      <t>Δ</t>
    </r>
    <r>
      <rPr>
        <vertAlign val="subscript"/>
        <sz val="13"/>
        <rFont val="Arial"/>
        <family val="2"/>
      </rPr>
      <t>ECOopt</t>
    </r>
  </si>
  <si>
    <r>
      <t xml:space="preserve">  </t>
    </r>
    <r>
      <rPr>
        <i/>
        <sz val="13"/>
        <rFont val="Arial"/>
        <family val="2"/>
      </rPr>
      <t>Δ</t>
    </r>
    <r>
      <rPr>
        <vertAlign val="subscript"/>
        <sz val="13"/>
        <rFont val="Arial"/>
        <family val="2"/>
      </rPr>
      <t>EA-&gt;Bopt</t>
    </r>
  </si>
  <si>
    <r>
      <t xml:space="preserve">  </t>
    </r>
    <r>
      <rPr>
        <i/>
        <sz val="13"/>
        <rFont val="Arial"/>
        <family val="2"/>
      </rPr>
      <t>Δ</t>
    </r>
    <r>
      <rPr>
        <vertAlign val="subscript"/>
        <sz val="13"/>
        <rFont val="Arial"/>
        <family val="2"/>
      </rPr>
      <t>ECOi</t>
    </r>
  </si>
  <si>
    <r>
      <t xml:space="preserve">  </t>
    </r>
    <r>
      <rPr>
        <i/>
        <sz val="13"/>
        <rFont val="Arial"/>
        <family val="2"/>
      </rPr>
      <t>Δ</t>
    </r>
    <r>
      <rPr>
        <vertAlign val="subscript"/>
        <sz val="13"/>
        <rFont val="Arial"/>
        <family val="2"/>
      </rPr>
      <t>EA-&gt;Bi</t>
    </r>
  </si>
  <si>
    <r>
      <t xml:space="preserve"> </t>
    </r>
    <r>
      <rPr>
        <b/>
        <i/>
        <sz val="13"/>
        <rFont val="Arial"/>
        <family val="2"/>
      </rPr>
      <t>E</t>
    </r>
    <r>
      <rPr>
        <b/>
        <vertAlign val="subscript"/>
        <sz val="13"/>
        <rFont val="Arial"/>
        <family val="2"/>
      </rPr>
      <t>Bi</t>
    </r>
  </si>
  <si>
    <r>
      <t xml:space="preserve"> </t>
    </r>
    <r>
      <rPr>
        <b/>
        <i/>
        <sz val="13"/>
        <rFont val="Arial"/>
        <family val="2"/>
      </rPr>
      <t>E</t>
    </r>
    <r>
      <rPr>
        <b/>
        <vertAlign val="subscript"/>
        <sz val="13"/>
        <rFont val="Arial"/>
        <family val="2"/>
      </rPr>
      <t>Bopt</t>
    </r>
  </si>
  <si>
    <r>
      <rPr>
        <sz val="13"/>
        <rFont val="Times New Roman"/>
        <family val="1"/>
      </rPr>
      <t xml:space="preserve">   ν</t>
    </r>
    <r>
      <rPr>
        <vertAlign val="subscript"/>
        <sz val="13"/>
        <rFont val="Arial"/>
        <family val="2"/>
      </rPr>
      <t>B</t>
    </r>
  </si>
  <si>
    <r>
      <rPr>
        <b/>
        <i/>
        <sz val="13"/>
        <rFont val="Arial"/>
        <family val="2"/>
      </rPr>
      <t>N</t>
    </r>
    <r>
      <rPr>
        <b/>
        <vertAlign val="subscript"/>
        <sz val="13"/>
        <rFont val="Arial"/>
        <family val="2"/>
      </rPr>
      <t>QE</t>
    </r>
  </si>
  <si>
    <r>
      <t xml:space="preserve">  D</t>
    </r>
    <r>
      <rPr>
        <vertAlign val="subscript"/>
        <sz val="13"/>
        <rFont val="Arial"/>
        <family val="2"/>
      </rPr>
      <t>A</t>
    </r>
  </si>
  <si>
    <r>
      <rPr>
        <i/>
        <sz val="13"/>
        <rFont val="Arial"/>
        <family val="2"/>
      </rPr>
      <t xml:space="preserve">  η</t>
    </r>
    <r>
      <rPr>
        <vertAlign val="subscript"/>
        <sz val="13"/>
        <rFont val="Arial"/>
        <family val="2"/>
      </rPr>
      <t>hAopt</t>
    </r>
  </si>
  <si>
    <r>
      <t xml:space="preserve"> </t>
    </r>
    <r>
      <rPr>
        <i/>
        <sz val="13"/>
        <rFont val="Arial"/>
        <family val="2"/>
      </rPr>
      <t xml:space="preserve"> η</t>
    </r>
    <r>
      <rPr>
        <vertAlign val="subscript"/>
        <sz val="13"/>
        <rFont val="Arial"/>
        <family val="2"/>
      </rPr>
      <t>hAopt</t>
    </r>
  </si>
  <si>
    <r>
      <t xml:space="preserve">  </t>
    </r>
    <r>
      <rPr>
        <i/>
        <sz val="13"/>
        <rFont val="Calibri"/>
        <family val="2"/>
      </rPr>
      <t>η</t>
    </r>
    <r>
      <rPr>
        <vertAlign val="subscript"/>
        <sz val="13"/>
        <rFont val="Arial"/>
        <family val="2"/>
      </rPr>
      <t>hAi</t>
    </r>
  </si>
  <si>
    <r>
      <rPr>
        <i/>
        <sz val="13"/>
        <rFont val="Arial"/>
        <family val="2"/>
      </rPr>
      <t>Re</t>
    </r>
    <r>
      <rPr>
        <vertAlign val="subscript"/>
        <sz val="13"/>
        <rFont val="Arial"/>
        <family val="2"/>
      </rPr>
      <t>Ai</t>
    </r>
  </si>
  <si>
    <r>
      <rPr>
        <i/>
        <sz val="13"/>
        <rFont val="Arial"/>
        <family val="2"/>
      </rPr>
      <t>Re</t>
    </r>
    <r>
      <rPr>
        <vertAlign val="subscript"/>
        <sz val="13"/>
        <rFont val="Arial"/>
        <family val="2"/>
      </rPr>
      <t>Aopt</t>
    </r>
  </si>
  <si>
    <r>
      <t xml:space="preserve"> </t>
    </r>
    <r>
      <rPr>
        <i/>
        <sz val="13"/>
        <rFont val="Arial"/>
        <family val="2"/>
      </rPr>
      <t xml:space="preserve"> Ra</t>
    </r>
    <r>
      <rPr>
        <vertAlign val="subscript"/>
        <sz val="13"/>
        <rFont val="Arial"/>
        <family val="2"/>
      </rPr>
      <t>SPA</t>
    </r>
    <r>
      <rPr>
        <vertAlign val="superscript"/>
        <sz val="13"/>
        <rFont val="Arial"/>
        <family val="2"/>
      </rPr>
      <t>a</t>
    </r>
  </si>
  <si>
    <r>
      <t xml:space="preserve">  </t>
    </r>
    <r>
      <rPr>
        <i/>
        <sz val="13"/>
        <rFont val="Arial"/>
        <family val="2"/>
      </rPr>
      <t>Ra</t>
    </r>
    <r>
      <rPr>
        <vertAlign val="subscript"/>
        <sz val="13"/>
        <rFont val="Arial"/>
        <family val="2"/>
      </rPr>
      <t>DTMA</t>
    </r>
    <r>
      <rPr>
        <vertAlign val="superscript"/>
        <sz val="13"/>
        <rFont val="Arial"/>
        <family val="2"/>
      </rPr>
      <t>a</t>
    </r>
  </si>
  <si>
    <r>
      <t xml:space="preserve">  </t>
    </r>
    <r>
      <rPr>
        <i/>
        <sz val="13"/>
        <rFont val="Arial"/>
        <family val="2"/>
      </rPr>
      <t>Ra</t>
    </r>
    <r>
      <rPr>
        <vertAlign val="subscript"/>
        <sz val="13"/>
        <rFont val="Arial"/>
        <family val="2"/>
      </rPr>
      <t>TRA</t>
    </r>
    <r>
      <rPr>
        <vertAlign val="superscript"/>
        <sz val="13"/>
        <rFont val="Arial"/>
        <family val="2"/>
      </rPr>
      <t>a</t>
    </r>
  </si>
  <si>
    <r>
      <t xml:space="preserve">  </t>
    </r>
    <r>
      <rPr>
        <i/>
        <sz val="13"/>
        <rFont val="Arial"/>
        <family val="2"/>
      </rPr>
      <t>Ra</t>
    </r>
    <r>
      <rPr>
        <vertAlign val="subscript"/>
        <sz val="13"/>
        <rFont val="Arial"/>
        <family val="2"/>
      </rPr>
      <t>TSA</t>
    </r>
    <r>
      <rPr>
        <vertAlign val="superscript"/>
        <sz val="13"/>
        <rFont val="Arial"/>
        <family val="2"/>
      </rPr>
      <t>a</t>
    </r>
  </si>
  <si>
    <r>
      <rPr>
        <i/>
        <sz val="13"/>
        <rFont val="Arial"/>
        <family val="2"/>
      </rPr>
      <t>D</t>
    </r>
    <r>
      <rPr>
        <vertAlign val="subscript"/>
        <sz val="13"/>
        <rFont val="Arial"/>
        <family val="2"/>
      </rPr>
      <t>B</t>
    </r>
  </si>
  <si>
    <r>
      <rPr>
        <i/>
        <sz val="13"/>
        <rFont val="Arial"/>
        <family val="2"/>
      </rPr>
      <t>t</t>
    </r>
    <r>
      <rPr>
        <vertAlign val="subscript"/>
        <sz val="13"/>
        <rFont val="Arial"/>
        <family val="2"/>
      </rPr>
      <t>WB</t>
    </r>
  </si>
  <si>
    <r>
      <rPr>
        <i/>
        <sz val="13"/>
        <rFont val="Arial"/>
        <family val="2"/>
      </rPr>
      <t>ρ</t>
    </r>
    <r>
      <rPr>
        <vertAlign val="subscript"/>
        <sz val="13"/>
        <rFont val="Arial"/>
        <family val="2"/>
      </rPr>
      <t>B</t>
    </r>
  </si>
  <si>
    <r>
      <rPr>
        <i/>
        <sz val="13"/>
        <rFont val="Arial"/>
        <family val="2"/>
      </rPr>
      <t>g</t>
    </r>
    <r>
      <rPr>
        <vertAlign val="subscript"/>
        <sz val="13"/>
        <rFont val="Arial"/>
        <family val="2"/>
      </rPr>
      <t>B</t>
    </r>
  </si>
  <si>
    <r>
      <rPr>
        <i/>
        <sz val="13"/>
        <rFont val="Arial"/>
        <family val="2"/>
      </rPr>
      <t>n</t>
    </r>
    <r>
      <rPr>
        <vertAlign val="subscript"/>
        <sz val="13"/>
        <rFont val="Arial"/>
        <family val="2"/>
      </rPr>
      <t>B</t>
    </r>
    <r>
      <rPr>
        <sz val="13"/>
        <rFont val="Arial"/>
        <family val="2"/>
      </rPr>
      <t xml:space="preserve"> </t>
    </r>
  </si>
  <si>
    <r>
      <rPr>
        <i/>
        <sz val="13"/>
        <rFont val="Arial"/>
        <family val="2"/>
      </rPr>
      <t>Re</t>
    </r>
    <r>
      <rPr>
        <vertAlign val="subscript"/>
        <sz val="13"/>
        <rFont val="Arial"/>
        <family val="2"/>
      </rPr>
      <t>B</t>
    </r>
  </si>
  <si>
    <r>
      <t xml:space="preserve"> </t>
    </r>
    <r>
      <rPr>
        <i/>
        <sz val="13"/>
        <rFont val="Arial"/>
        <family val="2"/>
      </rPr>
      <t>Ra</t>
    </r>
    <r>
      <rPr>
        <vertAlign val="subscript"/>
        <sz val="13"/>
        <rFont val="Arial"/>
        <family val="2"/>
      </rPr>
      <t>SPB</t>
    </r>
    <r>
      <rPr>
        <vertAlign val="superscript"/>
        <sz val="13"/>
        <rFont val="Arial"/>
        <family val="2"/>
      </rPr>
      <t>a</t>
    </r>
  </si>
  <si>
    <r>
      <t xml:space="preserve"> </t>
    </r>
    <r>
      <rPr>
        <i/>
        <sz val="13"/>
        <rFont val="Arial"/>
        <family val="2"/>
      </rPr>
      <t>Ra</t>
    </r>
    <r>
      <rPr>
        <vertAlign val="subscript"/>
        <sz val="13"/>
        <rFont val="Arial"/>
        <family val="2"/>
      </rPr>
      <t>DTB</t>
    </r>
    <r>
      <rPr>
        <vertAlign val="superscript"/>
        <sz val="13"/>
        <rFont val="Arial"/>
        <family val="2"/>
      </rPr>
      <t>a</t>
    </r>
  </si>
  <si>
    <r>
      <t xml:space="preserve"> </t>
    </r>
    <r>
      <rPr>
        <i/>
        <sz val="13"/>
        <rFont val="Arial"/>
        <family val="2"/>
      </rPr>
      <t>Ra</t>
    </r>
    <r>
      <rPr>
        <vertAlign val="subscript"/>
        <sz val="13"/>
        <rFont val="Arial"/>
        <family val="2"/>
      </rPr>
      <t>TRB</t>
    </r>
    <r>
      <rPr>
        <vertAlign val="superscript"/>
        <sz val="13"/>
        <rFont val="Arial"/>
        <family val="2"/>
      </rPr>
      <t>a</t>
    </r>
  </si>
  <si>
    <r>
      <t xml:space="preserve"> </t>
    </r>
    <r>
      <rPr>
        <i/>
        <sz val="13"/>
        <rFont val="Arial"/>
        <family val="2"/>
      </rPr>
      <t>Ra</t>
    </r>
    <r>
      <rPr>
        <vertAlign val="subscript"/>
        <sz val="13"/>
        <rFont val="Arial"/>
        <family val="2"/>
      </rPr>
      <t>TSB</t>
    </r>
    <r>
      <rPr>
        <vertAlign val="superscript"/>
        <sz val="13"/>
        <rFont val="Arial"/>
        <family val="2"/>
      </rPr>
      <t>a</t>
    </r>
  </si>
  <si>
    <r>
      <t xml:space="preserve">  </t>
    </r>
    <r>
      <rPr>
        <i/>
        <sz val="13"/>
        <rFont val="Arial"/>
        <family val="2"/>
      </rPr>
      <t>ρ</t>
    </r>
    <r>
      <rPr>
        <vertAlign val="subscript"/>
        <sz val="13"/>
        <rFont val="Arial"/>
        <family val="2"/>
      </rPr>
      <t>P1</t>
    </r>
    <r>
      <rPr>
        <sz val="13"/>
        <rFont val="Arial"/>
        <family val="2"/>
      </rPr>
      <t xml:space="preserve"> at inlet section</t>
    </r>
  </si>
  <si>
    <r>
      <t xml:space="preserve">  </t>
    </r>
    <r>
      <rPr>
        <i/>
        <sz val="13"/>
        <rFont val="Arial"/>
        <family val="2"/>
      </rPr>
      <t>ρ</t>
    </r>
    <r>
      <rPr>
        <vertAlign val="subscript"/>
        <sz val="13"/>
        <rFont val="Arial"/>
        <family val="2"/>
      </rPr>
      <t>P2</t>
    </r>
    <r>
      <rPr>
        <sz val="13"/>
        <rFont val="Arial"/>
        <family val="2"/>
      </rPr>
      <t xml:space="preserve"> at outlet section</t>
    </r>
  </si>
  <si>
    <r>
      <t xml:space="preserve">  </t>
    </r>
    <r>
      <rPr>
        <b/>
        <i/>
        <sz val="13"/>
        <rFont val="Arial"/>
        <family val="2"/>
      </rPr>
      <t>ρ</t>
    </r>
    <r>
      <rPr>
        <b/>
        <vertAlign val="subscript"/>
        <sz val="13"/>
        <rFont val="Arial"/>
        <family val="2"/>
      </rPr>
      <t xml:space="preserve">P </t>
    </r>
    <r>
      <rPr>
        <b/>
        <sz val="13"/>
        <rFont val="Arial"/>
        <family val="2"/>
      </rPr>
      <t>= (</t>
    </r>
    <r>
      <rPr>
        <b/>
        <i/>
        <sz val="13"/>
        <rFont val="Arial"/>
        <family val="2"/>
      </rPr>
      <t>ρ</t>
    </r>
    <r>
      <rPr>
        <b/>
        <vertAlign val="subscript"/>
        <sz val="13"/>
        <rFont val="Arial"/>
        <family val="2"/>
      </rPr>
      <t>P1</t>
    </r>
    <r>
      <rPr>
        <b/>
        <sz val="13"/>
        <rFont val="Arial"/>
        <family val="2"/>
      </rPr>
      <t>+</t>
    </r>
    <r>
      <rPr>
        <b/>
        <i/>
        <sz val="13"/>
        <rFont val="Arial"/>
        <family val="2"/>
      </rPr>
      <t>ρ</t>
    </r>
    <r>
      <rPr>
        <b/>
        <vertAlign val="subscript"/>
        <sz val="13"/>
        <rFont val="Arial"/>
        <family val="2"/>
      </rPr>
      <t>P2</t>
    </r>
    <r>
      <rPr>
        <b/>
        <sz val="13"/>
        <rFont val="Arial"/>
        <family val="2"/>
      </rPr>
      <t>)/2</t>
    </r>
  </si>
  <si>
    <r>
      <t xml:space="preserve"> </t>
    </r>
    <r>
      <rPr>
        <i/>
        <sz val="13"/>
        <rFont val="Arial"/>
        <family val="2"/>
      </rPr>
      <t>p</t>
    </r>
    <r>
      <rPr>
        <vertAlign val="subscript"/>
        <sz val="13"/>
        <rFont val="Arial"/>
        <family val="2"/>
      </rPr>
      <t>amb1</t>
    </r>
    <r>
      <rPr>
        <sz val="13"/>
        <rFont val="Arial"/>
        <family val="2"/>
      </rPr>
      <t xml:space="preserve"> at U.W.L.</t>
    </r>
  </si>
  <si>
    <r>
      <t xml:space="preserve"> </t>
    </r>
    <r>
      <rPr>
        <i/>
        <sz val="13"/>
        <rFont val="Arial"/>
        <family val="2"/>
      </rPr>
      <t>p</t>
    </r>
    <r>
      <rPr>
        <vertAlign val="subscript"/>
        <sz val="13"/>
        <rFont val="Arial"/>
        <family val="2"/>
      </rPr>
      <t>abs1</t>
    </r>
    <r>
      <rPr>
        <sz val="13"/>
        <rFont val="Arial"/>
        <family val="2"/>
      </rPr>
      <t xml:space="preserve"> at inlet section</t>
    </r>
  </si>
  <si>
    <r>
      <t xml:space="preserve"> </t>
    </r>
    <r>
      <rPr>
        <i/>
        <sz val="13"/>
        <rFont val="Arial"/>
        <family val="2"/>
      </rPr>
      <t>p</t>
    </r>
    <r>
      <rPr>
        <vertAlign val="subscript"/>
        <sz val="13"/>
        <rFont val="Arial"/>
        <family val="2"/>
      </rPr>
      <t>amb2</t>
    </r>
    <r>
      <rPr>
        <sz val="13"/>
        <rFont val="Arial"/>
        <family val="2"/>
      </rPr>
      <t xml:space="preserve"> at L.W.L.</t>
    </r>
  </si>
  <si>
    <r>
      <t xml:space="preserve"> </t>
    </r>
    <r>
      <rPr>
        <i/>
        <sz val="13"/>
        <rFont val="Arial"/>
        <family val="2"/>
      </rPr>
      <t>p</t>
    </r>
    <r>
      <rPr>
        <vertAlign val="subscript"/>
        <sz val="13"/>
        <rFont val="Arial"/>
        <family val="2"/>
      </rPr>
      <t>abs2</t>
    </r>
    <r>
      <rPr>
        <sz val="13"/>
        <rFont val="Arial"/>
        <family val="2"/>
      </rPr>
      <t xml:space="preserve"> at outlet section</t>
    </r>
  </si>
  <si>
    <r>
      <rPr>
        <i/>
        <sz val="13"/>
        <rFont val="Arial"/>
        <family val="2"/>
      </rPr>
      <t>Q</t>
    </r>
    <r>
      <rPr>
        <vertAlign val="subscript"/>
        <sz val="13"/>
        <rFont val="Arial"/>
        <family val="2"/>
      </rPr>
      <t>1Bi</t>
    </r>
    <r>
      <rPr>
        <sz val="13"/>
        <rFont val="Arial"/>
        <family val="2"/>
      </rPr>
      <t>=</t>
    </r>
    <r>
      <rPr>
        <i/>
        <sz val="13"/>
        <rFont val="Arial"/>
        <family val="2"/>
      </rPr>
      <t>Q</t>
    </r>
    <r>
      <rPr>
        <vertAlign val="subscript"/>
        <sz val="13"/>
        <rFont val="Arial"/>
        <family val="2"/>
      </rPr>
      <t>1Ai</t>
    </r>
    <r>
      <rPr>
        <sz val="13"/>
        <rFont val="Arial"/>
        <family val="2"/>
      </rPr>
      <t>×(</t>
    </r>
    <r>
      <rPr>
        <i/>
        <sz val="13"/>
        <rFont val="Arial"/>
        <family val="2"/>
      </rPr>
      <t>n</t>
    </r>
    <r>
      <rPr>
        <vertAlign val="subscript"/>
        <sz val="13"/>
        <rFont val="Arial"/>
        <family val="2"/>
      </rPr>
      <t>B</t>
    </r>
    <r>
      <rPr>
        <sz val="13"/>
        <rFont val="Arial"/>
        <family val="2"/>
      </rPr>
      <t>/</t>
    </r>
    <r>
      <rPr>
        <i/>
        <sz val="13"/>
        <rFont val="Arial"/>
        <family val="2"/>
      </rPr>
      <t>n</t>
    </r>
    <r>
      <rPr>
        <vertAlign val="subscript"/>
        <sz val="13"/>
        <rFont val="Arial"/>
        <family val="2"/>
      </rPr>
      <t>Ai</t>
    </r>
    <r>
      <rPr>
        <sz val="13"/>
        <rFont val="Arial"/>
        <family val="2"/>
      </rPr>
      <t>)(</t>
    </r>
    <r>
      <rPr>
        <i/>
        <sz val="13"/>
        <rFont val="Arial"/>
        <family val="2"/>
      </rPr>
      <t>D</t>
    </r>
    <r>
      <rPr>
        <vertAlign val="subscript"/>
        <sz val="13"/>
        <rFont val="Arial"/>
        <family val="2"/>
      </rPr>
      <t>B</t>
    </r>
    <r>
      <rPr>
        <sz val="13"/>
        <rFont val="Arial"/>
        <family val="2"/>
      </rPr>
      <t>/</t>
    </r>
    <r>
      <rPr>
        <i/>
        <sz val="13"/>
        <rFont val="Arial"/>
        <family val="2"/>
      </rPr>
      <t>D</t>
    </r>
    <r>
      <rPr>
        <vertAlign val="subscript"/>
        <sz val="13"/>
        <rFont val="Arial"/>
        <family val="2"/>
      </rPr>
      <t>A</t>
    </r>
    <r>
      <rPr>
        <sz val="13"/>
        <rFont val="Arial"/>
        <family val="2"/>
      </rPr>
      <t>)</t>
    </r>
    <r>
      <rPr>
        <vertAlign val="superscript"/>
        <sz val="13"/>
        <rFont val="Arial"/>
        <family val="2"/>
      </rPr>
      <t>3</t>
    </r>
    <r>
      <rPr>
        <sz val="13"/>
        <rFont val="Arial"/>
        <family val="2"/>
      </rPr>
      <t>/(1+</t>
    </r>
    <r>
      <rPr>
        <i/>
        <sz val="13"/>
        <rFont val="Arial"/>
        <family val="2"/>
      </rPr>
      <t>Δ</t>
    </r>
    <r>
      <rPr>
        <vertAlign val="subscript"/>
        <sz val="13"/>
        <rFont val="Arial"/>
        <family val="2"/>
      </rPr>
      <t>QA-&gt;B</t>
    </r>
    <r>
      <rPr>
        <sz val="13"/>
        <rFont val="Arial"/>
        <family val="2"/>
      </rPr>
      <t>)</t>
    </r>
  </si>
  <si>
    <r>
      <rPr>
        <i/>
        <sz val="13"/>
        <rFont val="Arial"/>
        <family val="2"/>
      </rPr>
      <t>Q</t>
    </r>
    <r>
      <rPr>
        <vertAlign val="subscript"/>
        <sz val="13"/>
        <rFont val="Arial"/>
        <family val="2"/>
      </rPr>
      <t>1B</t>
    </r>
    <r>
      <rPr>
        <sz val="13"/>
        <rFont val="Arial"/>
        <family val="2"/>
      </rPr>
      <t>=</t>
    </r>
    <r>
      <rPr>
        <i/>
        <sz val="13"/>
        <rFont val="Arial"/>
        <family val="2"/>
      </rPr>
      <t>Q</t>
    </r>
    <r>
      <rPr>
        <vertAlign val="subscript"/>
        <sz val="13"/>
        <rFont val="Arial"/>
        <family val="2"/>
      </rPr>
      <t>1Ai</t>
    </r>
    <r>
      <rPr>
        <sz val="13"/>
        <rFont val="Arial"/>
        <family val="2"/>
      </rPr>
      <t>×(</t>
    </r>
    <r>
      <rPr>
        <i/>
        <sz val="13"/>
        <rFont val="Arial"/>
        <family val="2"/>
      </rPr>
      <t>n</t>
    </r>
    <r>
      <rPr>
        <vertAlign val="subscript"/>
        <sz val="13"/>
        <rFont val="Arial"/>
        <family val="2"/>
      </rPr>
      <t>B</t>
    </r>
    <r>
      <rPr>
        <sz val="13"/>
        <rFont val="Arial"/>
        <family val="2"/>
      </rPr>
      <t>/</t>
    </r>
    <r>
      <rPr>
        <i/>
        <sz val="13"/>
        <rFont val="Arial"/>
        <family val="2"/>
      </rPr>
      <t>n</t>
    </r>
    <r>
      <rPr>
        <vertAlign val="subscript"/>
        <sz val="13"/>
        <rFont val="Arial"/>
        <family val="2"/>
      </rPr>
      <t>Ai</t>
    </r>
    <r>
      <rPr>
        <sz val="13"/>
        <rFont val="Arial"/>
        <family val="2"/>
      </rPr>
      <t>)(</t>
    </r>
    <r>
      <rPr>
        <i/>
        <sz val="13"/>
        <rFont val="Arial"/>
        <family val="2"/>
      </rPr>
      <t>D</t>
    </r>
    <r>
      <rPr>
        <vertAlign val="subscript"/>
        <sz val="13"/>
        <rFont val="Arial"/>
        <family val="2"/>
      </rPr>
      <t>B</t>
    </r>
    <r>
      <rPr>
        <sz val="13"/>
        <rFont val="Arial"/>
        <family val="2"/>
      </rPr>
      <t>/</t>
    </r>
    <r>
      <rPr>
        <i/>
        <sz val="13"/>
        <rFont val="Arial"/>
        <family val="2"/>
      </rPr>
      <t>D</t>
    </r>
    <r>
      <rPr>
        <vertAlign val="subscript"/>
        <sz val="13"/>
        <rFont val="Arial"/>
        <family val="2"/>
      </rPr>
      <t>A</t>
    </r>
    <r>
      <rPr>
        <sz val="13"/>
        <rFont val="Arial"/>
        <family val="2"/>
      </rPr>
      <t>)</t>
    </r>
    <r>
      <rPr>
        <vertAlign val="superscript"/>
        <sz val="13"/>
        <rFont val="Arial"/>
        <family val="2"/>
      </rPr>
      <t>3</t>
    </r>
    <r>
      <rPr>
        <sz val="13"/>
        <rFont val="Arial"/>
        <family val="2"/>
      </rPr>
      <t>(1+</t>
    </r>
    <r>
      <rPr>
        <i/>
        <sz val="13"/>
        <rFont val="Arial"/>
        <family val="2"/>
      </rPr>
      <t>Δ</t>
    </r>
    <r>
      <rPr>
        <vertAlign val="subscript"/>
        <sz val="13"/>
        <rFont val="Arial"/>
        <family val="2"/>
      </rPr>
      <t>QA-&gt;B</t>
    </r>
    <r>
      <rPr>
        <sz val="13"/>
        <rFont val="Arial"/>
        <family val="2"/>
      </rPr>
      <t>)</t>
    </r>
  </si>
  <si>
    <r>
      <t xml:space="preserve">The values of </t>
    </r>
    <r>
      <rPr>
        <i/>
        <sz val="11"/>
        <color rgb="FF000000"/>
        <rFont val="Calibri"/>
        <family val="2"/>
      </rPr>
      <t>ζ</t>
    </r>
    <r>
      <rPr>
        <vertAlign val="subscript"/>
        <sz val="11"/>
        <color rgb="FF000000"/>
        <rFont val="Arial"/>
        <family val="2"/>
      </rPr>
      <t>k1</t>
    </r>
    <r>
      <rPr>
        <sz val="11"/>
        <color rgb="FF000000"/>
        <rFont val="Arial"/>
        <family val="2"/>
      </rPr>
      <t>,</t>
    </r>
    <r>
      <rPr>
        <i/>
        <sz val="11"/>
        <color rgb="FF000000"/>
        <rFont val="Arial"/>
        <family val="2"/>
      </rPr>
      <t xml:space="preserve"> </t>
    </r>
    <r>
      <rPr>
        <i/>
        <sz val="11"/>
        <color rgb="FF000000"/>
        <rFont val="Calibri"/>
        <family val="2"/>
      </rPr>
      <t>ζ</t>
    </r>
    <r>
      <rPr>
        <vertAlign val="subscript"/>
        <sz val="11"/>
        <color rgb="FF000000"/>
        <rFont val="Arial"/>
        <family val="2"/>
      </rPr>
      <t>k2</t>
    </r>
    <r>
      <rPr>
        <sz val="11"/>
        <color rgb="FF000000"/>
        <rFont val="Arial"/>
        <family val="2"/>
      </rPr>
      <t xml:space="preserve"> and </t>
    </r>
    <r>
      <rPr>
        <i/>
        <sz val="11"/>
        <color rgb="FF000000"/>
        <rFont val="Calibri"/>
        <family val="2"/>
      </rPr>
      <t>ζ</t>
    </r>
    <r>
      <rPr>
        <vertAlign val="subscript"/>
        <sz val="11"/>
        <color rgb="FF000000"/>
        <rFont val="Arial"/>
        <family val="2"/>
      </rPr>
      <t>kS</t>
    </r>
    <r>
      <rPr>
        <sz val="11"/>
        <color rgb="FF000000"/>
        <rFont val="Arial"/>
        <family val="2"/>
      </rPr>
      <t xml:space="preserve"> are prescribed in the standard as shown in the left table and also the influence of Reynolds number on </t>
    </r>
    <r>
      <rPr>
        <i/>
        <sz val="11"/>
        <color rgb="FF000000"/>
        <rFont val="Calibri"/>
        <family val="2"/>
      </rPr>
      <t>ζ</t>
    </r>
    <r>
      <rPr>
        <vertAlign val="subscript"/>
        <sz val="11"/>
        <color rgb="FF000000"/>
        <rFont val="Arial"/>
        <family val="2"/>
      </rPr>
      <t>f</t>
    </r>
    <r>
      <rPr>
        <sz val="11"/>
        <color rgb="FF000000"/>
        <rFont val="Arial"/>
        <family val="2"/>
      </rPr>
      <t xml:space="preserve"> is considered to be negligible.</t>
    </r>
  </si>
  <si>
    <r>
      <t xml:space="preserve"> D</t>
    </r>
    <r>
      <rPr>
        <vertAlign val="subscript"/>
        <sz val="11"/>
        <color theme="0"/>
        <rFont val="Arial"/>
        <family val="2"/>
      </rPr>
      <t>B</t>
    </r>
    <r>
      <rPr>
        <sz val="11"/>
        <color theme="0"/>
        <rFont val="Arial"/>
        <family val="2"/>
      </rPr>
      <t>/D</t>
    </r>
    <r>
      <rPr>
        <vertAlign val="subscript"/>
        <sz val="11"/>
        <color theme="0"/>
        <rFont val="Arial"/>
        <family val="2"/>
      </rPr>
      <t>A</t>
    </r>
    <r>
      <rPr>
        <sz val="11"/>
        <color theme="0"/>
        <rFont val="Arial"/>
        <family val="2"/>
      </rPr>
      <t>=</t>
    </r>
  </si>
  <si>
    <r>
      <t xml:space="preserve">  </t>
    </r>
    <r>
      <rPr>
        <i/>
        <sz val="13"/>
        <rFont val="Arial"/>
        <family val="2"/>
      </rPr>
      <t>Ra</t>
    </r>
    <r>
      <rPr>
        <vertAlign val="subscript"/>
        <sz val="13"/>
        <rFont val="Arial"/>
        <family val="2"/>
      </rPr>
      <t>TAref</t>
    </r>
  </si>
  <si>
    <r>
      <rPr>
        <i/>
        <sz val="14"/>
        <color theme="0"/>
        <rFont val="Arial"/>
        <family val="2"/>
      </rPr>
      <t>Re</t>
    </r>
    <r>
      <rPr>
        <vertAlign val="subscript"/>
        <sz val="14"/>
        <color theme="0"/>
        <rFont val="Arial"/>
        <family val="2"/>
      </rPr>
      <t>B</t>
    </r>
    <r>
      <rPr>
        <sz val="14"/>
        <color theme="0"/>
        <rFont val="Arial"/>
        <family val="2"/>
      </rPr>
      <t xml:space="preserve"> =</t>
    </r>
    <r>
      <rPr>
        <i/>
        <sz val="14"/>
        <color theme="0"/>
        <rFont val="Arial"/>
        <family val="2"/>
      </rPr>
      <t xml:space="preserve"> Re</t>
    </r>
    <r>
      <rPr>
        <vertAlign val="subscript"/>
        <sz val="14"/>
        <color theme="0"/>
        <rFont val="Arial"/>
        <family val="2"/>
      </rPr>
      <t>M*</t>
    </r>
    <r>
      <rPr>
        <sz val="14"/>
        <color theme="0"/>
        <rFont val="Arial"/>
        <family val="2"/>
      </rPr>
      <t xml:space="preserve">= </t>
    </r>
    <r>
      <rPr>
        <i/>
        <sz val="14"/>
        <color theme="0"/>
        <rFont val="Arial"/>
        <family val="2"/>
      </rPr>
      <t>Re</t>
    </r>
    <r>
      <rPr>
        <vertAlign val="subscript"/>
        <sz val="14"/>
        <color theme="0"/>
        <rFont val="Arial"/>
        <family val="2"/>
      </rPr>
      <t>ref</t>
    </r>
    <r>
      <rPr>
        <sz val="14"/>
        <color theme="0"/>
        <rFont val="Arial"/>
        <family val="2"/>
      </rPr>
      <t xml:space="preserve"> = 7x10</t>
    </r>
    <r>
      <rPr>
        <vertAlign val="superscript"/>
        <sz val="14"/>
        <color theme="0"/>
        <rFont val="Arial"/>
        <family val="2"/>
      </rPr>
      <t>6</t>
    </r>
  </si>
  <si>
    <r>
      <rPr>
        <i/>
        <sz val="14"/>
        <color rgb="FFFF0000"/>
        <rFont val="Arial"/>
        <family val="2"/>
      </rPr>
      <t>t</t>
    </r>
    <r>
      <rPr>
        <vertAlign val="subscript"/>
        <sz val="14"/>
        <color rgb="FFFF0000"/>
        <rFont val="Arial"/>
        <family val="2"/>
      </rPr>
      <t xml:space="preserve">wB </t>
    </r>
    <r>
      <rPr>
        <sz val="14"/>
        <color rgb="FFFF0000"/>
        <rFont val="Arial"/>
        <family val="2"/>
      </rPr>
      <t xml:space="preserve">= </t>
    </r>
    <r>
      <rPr>
        <i/>
        <sz val="14"/>
        <color rgb="FFFF0000"/>
        <rFont val="Arial"/>
        <family val="2"/>
      </rPr>
      <t>t</t>
    </r>
    <r>
      <rPr>
        <vertAlign val="subscript"/>
        <sz val="14"/>
        <color rgb="FFFF0000"/>
        <rFont val="Arial"/>
        <family val="2"/>
      </rPr>
      <t>wM*</t>
    </r>
    <r>
      <rPr>
        <sz val="14"/>
        <color rgb="FFFF0000"/>
        <rFont val="Arial"/>
        <family val="2"/>
      </rPr>
      <t xml:space="preserve"> = </t>
    </r>
    <r>
      <rPr>
        <i/>
        <sz val="14"/>
        <color rgb="FFFF0000"/>
        <rFont val="Arial"/>
        <family val="2"/>
      </rPr>
      <t>t</t>
    </r>
    <r>
      <rPr>
        <vertAlign val="subscript"/>
        <sz val="14"/>
        <color rgb="FFFF0000"/>
        <rFont val="Arial"/>
        <family val="2"/>
      </rPr>
      <t xml:space="preserve">wref </t>
    </r>
    <r>
      <rPr>
        <sz val="14"/>
        <color rgb="FFFF0000"/>
        <rFont val="Arial"/>
        <family val="2"/>
      </rPr>
      <t>= 20°C</t>
    </r>
  </si>
  <si>
    <t xml:space="preserve">the input form in the workbook </t>
  </si>
  <si>
    <r>
      <t xml:space="preserve">Assumed max. hydraulic efficiency for reference model at </t>
    </r>
    <r>
      <rPr>
        <i/>
        <sz val="13"/>
        <rFont val="Arial"/>
        <family val="2"/>
      </rPr>
      <t>Re</t>
    </r>
    <r>
      <rPr>
        <vertAlign val="subscript"/>
        <sz val="13"/>
        <rFont val="Arial"/>
        <family val="2"/>
      </rPr>
      <t>Mref</t>
    </r>
    <r>
      <rPr>
        <sz val="13"/>
        <rFont val="Arial"/>
        <family val="2"/>
      </rPr>
      <t>=7x10</t>
    </r>
    <r>
      <rPr>
        <vertAlign val="superscript"/>
        <sz val="13"/>
        <rFont val="Arial"/>
        <family val="2"/>
      </rPr>
      <t>6</t>
    </r>
    <r>
      <rPr>
        <sz val="13"/>
        <rFont val="Arial"/>
        <family val="2"/>
      </rPr>
      <t xml:space="preserve"> and </t>
    </r>
    <r>
      <rPr>
        <i/>
        <sz val="13"/>
        <rFont val="Arial"/>
        <family val="2"/>
      </rPr>
      <t>Ra</t>
    </r>
    <r>
      <rPr>
        <vertAlign val="subscript"/>
        <sz val="13"/>
        <rFont val="Arial"/>
        <family val="2"/>
      </rPr>
      <t>Mref</t>
    </r>
    <r>
      <rPr>
        <sz val="13"/>
        <rFont val="Arial"/>
        <family val="2"/>
      </rPr>
      <t xml:space="preserve">, </t>
    </r>
    <r>
      <rPr>
        <i/>
        <sz val="13"/>
        <rFont val="Cambria"/>
        <family val="1"/>
        <scheme val="major"/>
      </rPr>
      <t>η</t>
    </r>
    <r>
      <rPr>
        <vertAlign val="subscript"/>
        <sz val="13"/>
        <rFont val="Arial"/>
        <family val="2"/>
      </rPr>
      <t>hAmaxref</t>
    </r>
  </si>
  <si>
    <t>REFERENCE MODEL at reference conditions</t>
  </si>
  <si>
    <t xml:space="preserve">  u Mref</t>
  </si>
  <si>
    <r>
      <t xml:space="preserve">Calculation of </t>
    </r>
    <r>
      <rPr>
        <b/>
        <i/>
        <sz val="13"/>
        <rFont val="Arial"/>
        <family val="2"/>
      </rPr>
      <t>d</t>
    </r>
    <r>
      <rPr>
        <b/>
        <vertAlign val="subscript"/>
        <sz val="13"/>
        <rFont val="Arial"/>
        <family val="2"/>
      </rPr>
      <t>ECOref</t>
    </r>
    <r>
      <rPr>
        <b/>
        <sz val="11"/>
        <rFont val="Arial"/>
        <family val="2"/>
      </rPr>
      <t xml:space="preserve"> and</t>
    </r>
    <r>
      <rPr>
        <b/>
        <sz val="13"/>
        <rFont val="Arial"/>
        <family val="2"/>
      </rPr>
      <t xml:space="preserve"> </t>
    </r>
    <r>
      <rPr>
        <b/>
        <i/>
        <sz val="13"/>
        <rFont val="Arial"/>
        <family val="2"/>
      </rPr>
      <t>κ</t>
    </r>
    <r>
      <rPr>
        <b/>
        <vertAlign val="subscript"/>
        <sz val="13"/>
        <rFont val="Arial"/>
        <family val="2"/>
      </rPr>
      <t>uCO</t>
    </r>
    <r>
      <rPr>
        <b/>
        <sz val="13"/>
        <rFont val="Arial"/>
        <family val="2"/>
      </rPr>
      <t xml:space="preserve">  </t>
    </r>
  </si>
  <si>
    <r>
      <t xml:space="preserve">Calculation of </t>
    </r>
    <r>
      <rPr>
        <b/>
        <i/>
        <sz val="13"/>
        <rFont val="Arial"/>
        <family val="2"/>
      </rPr>
      <t>Δ</t>
    </r>
    <r>
      <rPr>
        <b/>
        <vertAlign val="subscript"/>
        <sz val="13"/>
        <rFont val="Arial"/>
        <family val="2"/>
      </rPr>
      <t>ECO</t>
    </r>
    <r>
      <rPr>
        <b/>
        <sz val="11"/>
        <rFont val="Arial"/>
        <family val="2"/>
      </rPr>
      <t xml:space="preserve"> and </t>
    </r>
    <r>
      <rPr>
        <b/>
        <i/>
        <sz val="13"/>
        <rFont val="Arial"/>
        <family val="2"/>
      </rPr>
      <t>Δ</t>
    </r>
    <r>
      <rPr>
        <b/>
        <vertAlign val="subscript"/>
        <sz val="13"/>
        <rFont val="Arial"/>
        <family val="2"/>
      </rPr>
      <t>E</t>
    </r>
    <r>
      <rPr>
        <b/>
        <sz val="11"/>
        <rFont val="Arial"/>
        <family val="2"/>
      </rPr>
      <t xml:space="preserve">  for optimum point</t>
    </r>
  </si>
  <si>
    <t xml:space="preserve">  RaCOMref / DMref</t>
  </si>
  <si>
    <t xml:space="preserve">   uMref : Peripheral velocity at DMref = DM*</t>
  </si>
  <si>
    <r>
      <t xml:space="preserve">  (</t>
    </r>
    <r>
      <rPr>
        <i/>
        <sz val="13"/>
        <rFont val="Arial"/>
        <family val="2"/>
      </rPr>
      <t>Ra</t>
    </r>
    <r>
      <rPr>
        <vertAlign val="subscript"/>
        <sz val="13"/>
        <rFont val="Arial"/>
        <family val="2"/>
      </rPr>
      <t>T</t>
    </r>
    <r>
      <rPr>
        <sz val="13"/>
        <rFont val="Arial"/>
        <family val="2"/>
      </rPr>
      <t>/</t>
    </r>
    <r>
      <rPr>
        <i/>
        <sz val="13"/>
        <rFont val="Arial"/>
        <family val="2"/>
      </rPr>
      <t>D</t>
    </r>
    <r>
      <rPr>
        <sz val="13"/>
        <rFont val="Arial"/>
        <family val="2"/>
      </rPr>
      <t>)</t>
    </r>
    <r>
      <rPr>
        <vertAlign val="subscript"/>
        <sz val="13"/>
        <rFont val="Arial"/>
        <family val="2"/>
      </rPr>
      <t>Mref</t>
    </r>
  </si>
  <si>
    <r>
      <t xml:space="preserve">  7.5x10</t>
    </r>
    <r>
      <rPr>
        <vertAlign val="superscript"/>
        <sz val="13"/>
        <rFont val="Arial"/>
        <family val="2"/>
      </rPr>
      <t xml:space="preserve">4 </t>
    </r>
    <r>
      <rPr>
        <i/>
        <sz val="13"/>
        <rFont val="Arial"/>
        <family val="2"/>
      </rPr>
      <t>κ</t>
    </r>
    <r>
      <rPr>
        <vertAlign val="subscript"/>
        <sz val="13"/>
        <rFont val="Arial"/>
        <family val="2"/>
      </rPr>
      <t>T</t>
    </r>
    <r>
      <rPr>
        <sz val="13"/>
        <rFont val="Arial"/>
        <family val="2"/>
      </rPr>
      <t>(</t>
    </r>
    <r>
      <rPr>
        <i/>
        <sz val="13"/>
        <rFont val="Arial"/>
        <family val="2"/>
      </rPr>
      <t>Ra</t>
    </r>
    <r>
      <rPr>
        <vertAlign val="subscript"/>
        <sz val="13"/>
        <rFont val="Arial"/>
        <family val="2"/>
      </rPr>
      <t>T</t>
    </r>
    <r>
      <rPr>
        <sz val="13"/>
        <rFont val="Arial"/>
        <family val="2"/>
      </rPr>
      <t>/</t>
    </r>
    <r>
      <rPr>
        <i/>
        <sz val="13"/>
        <rFont val="Arial"/>
        <family val="2"/>
      </rPr>
      <t>D</t>
    </r>
    <r>
      <rPr>
        <sz val="13"/>
        <rFont val="Arial"/>
        <family val="2"/>
      </rPr>
      <t>)</t>
    </r>
    <r>
      <rPr>
        <vertAlign val="subscript"/>
        <sz val="13"/>
        <rFont val="Arial"/>
        <family val="2"/>
      </rPr>
      <t>Mref</t>
    </r>
  </si>
  <si>
    <r>
      <t xml:space="preserve">  7x10</t>
    </r>
    <r>
      <rPr>
        <vertAlign val="superscript"/>
        <sz val="13"/>
        <rFont val="Arial"/>
        <family val="2"/>
      </rPr>
      <t>6</t>
    </r>
    <r>
      <rPr>
        <sz val="13"/>
        <rFont val="Arial"/>
        <family val="2"/>
      </rPr>
      <t>/</t>
    </r>
    <r>
      <rPr>
        <i/>
        <sz val="13"/>
        <rFont val="Arial"/>
        <family val="2"/>
      </rPr>
      <t>Re</t>
    </r>
    <r>
      <rPr>
        <vertAlign val="subscript"/>
        <sz val="13"/>
        <rFont val="Arial"/>
        <family val="2"/>
      </rPr>
      <t>Mrefopt</t>
    </r>
  </si>
  <si>
    <r>
      <t xml:space="preserve">  {7.5x10</t>
    </r>
    <r>
      <rPr>
        <vertAlign val="superscript"/>
        <sz val="13"/>
        <rFont val="Arial"/>
        <family val="2"/>
      </rPr>
      <t xml:space="preserve">4 </t>
    </r>
    <r>
      <rPr>
        <i/>
        <sz val="13"/>
        <rFont val="Arial"/>
        <family val="2"/>
      </rPr>
      <t>κ</t>
    </r>
    <r>
      <rPr>
        <vertAlign val="subscript"/>
        <sz val="13"/>
        <rFont val="Arial"/>
        <family val="2"/>
      </rPr>
      <t>T</t>
    </r>
    <r>
      <rPr>
        <sz val="13"/>
        <rFont val="Arial"/>
        <family val="2"/>
      </rPr>
      <t>(</t>
    </r>
    <r>
      <rPr>
        <i/>
        <sz val="13"/>
        <rFont val="Arial"/>
        <family val="2"/>
      </rPr>
      <t>Ra</t>
    </r>
    <r>
      <rPr>
        <vertAlign val="subscript"/>
        <sz val="13"/>
        <rFont val="Arial"/>
        <family val="2"/>
      </rPr>
      <t>T</t>
    </r>
    <r>
      <rPr>
        <sz val="13"/>
        <rFont val="Arial"/>
        <family val="2"/>
      </rPr>
      <t>/</t>
    </r>
    <r>
      <rPr>
        <i/>
        <sz val="13"/>
        <rFont val="Arial"/>
        <family val="2"/>
      </rPr>
      <t>D</t>
    </r>
    <r>
      <rPr>
        <sz val="13"/>
        <rFont val="Arial"/>
        <family val="2"/>
      </rPr>
      <t>)</t>
    </r>
    <r>
      <rPr>
        <vertAlign val="subscript"/>
        <sz val="13"/>
        <rFont val="Arial"/>
        <family val="2"/>
      </rPr>
      <t>Mref</t>
    </r>
    <r>
      <rPr>
        <sz val="13"/>
        <rFont val="Arial"/>
        <family val="2"/>
      </rPr>
      <t>+7 x 10</t>
    </r>
    <r>
      <rPr>
        <vertAlign val="superscript"/>
        <sz val="13"/>
        <rFont val="Arial"/>
        <family val="2"/>
      </rPr>
      <t>6</t>
    </r>
    <r>
      <rPr>
        <sz val="13"/>
        <rFont val="Arial"/>
        <family val="2"/>
      </rPr>
      <t>/</t>
    </r>
    <r>
      <rPr>
        <i/>
        <sz val="13"/>
        <rFont val="Arial"/>
        <family val="2"/>
      </rPr>
      <t>Re</t>
    </r>
    <r>
      <rPr>
        <vertAlign val="subscript"/>
        <sz val="13"/>
        <rFont val="Arial"/>
        <family val="2"/>
      </rPr>
      <t>Mrefopt</t>
    </r>
    <r>
      <rPr>
        <sz val="13"/>
        <rFont val="Arial"/>
        <family val="2"/>
      </rPr>
      <t>}</t>
    </r>
    <r>
      <rPr>
        <vertAlign val="superscript"/>
        <sz val="13"/>
        <rFont val="Arial"/>
        <family val="2"/>
      </rPr>
      <t>0.2</t>
    </r>
  </si>
  <si>
    <r>
      <t xml:space="preserve">  </t>
    </r>
    <r>
      <rPr>
        <b/>
        <i/>
        <sz val="13"/>
        <rFont val="Arial"/>
        <family val="2"/>
      </rPr>
      <t>η</t>
    </r>
    <r>
      <rPr>
        <b/>
        <vertAlign val="subscript"/>
        <sz val="13"/>
        <rFont val="Arial"/>
        <family val="2"/>
      </rPr>
      <t xml:space="preserve">hA opt     </t>
    </r>
    <r>
      <rPr>
        <b/>
        <sz val="13"/>
        <rFont val="Arial"/>
        <family val="2"/>
      </rPr>
      <t xml:space="preserve">    (%)</t>
    </r>
  </si>
  <si>
    <r>
      <t xml:space="preserve"> </t>
    </r>
    <r>
      <rPr>
        <i/>
        <sz val="13"/>
        <rFont val="Arial"/>
        <family val="2"/>
      </rPr>
      <t>Q</t>
    </r>
    <r>
      <rPr>
        <vertAlign val="subscript"/>
        <sz val="13"/>
        <rFont val="Arial"/>
        <family val="2"/>
      </rPr>
      <t xml:space="preserve">1Bi     </t>
    </r>
    <r>
      <rPr>
        <sz val="13"/>
        <rFont val="Arial"/>
        <family val="2"/>
      </rPr>
      <t xml:space="preserve">  (m</t>
    </r>
    <r>
      <rPr>
        <vertAlign val="superscript"/>
        <sz val="13"/>
        <rFont val="Arial"/>
        <family val="2"/>
      </rPr>
      <t>3</t>
    </r>
    <r>
      <rPr>
        <sz val="13"/>
        <rFont val="Arial"/>
        <family val="2"/>
      </rPr>
      <t>/s)</t>
    </r>
  </si>
  <si>
    <r>
      <t xml:space="preserve">  </t>
    </r>
    <r>
      <rPr>
        <b/>
        <i/>
        <sz val="13"/>
        <rFont val="Arial"/>
        <family val="2"/>
      </rPr>
      <t>η</t>
    </r>
    <r>
      <rPr>
        <b/>
        <vertAlign val="subscript"/>
        <sz val="13"/>
        <rFont val="Arial"/>
        <family val="2"/>
      </rPr>
      <t>hB opt</t>
    </r>
    <r>
      <rPr>
        <b/>
        <sz val="13"/>
        <rFont val="Arial"/>
        <family val="2"/>
      </rPr>
      <t xml:space="preserve">   (%)</t>
    </r>
  </si>
  <si>
    <r>
      <t xml:space="preserve">  t</t>
    </r>
    <r>
      <rPr>
        <vertAlign val="subscript"/>
        <sz val="13"/>
        <rFont val="Arial"/>
        <family val="2"/>
      </rPr>
      <t xml:space="preserve">WB                                         </t>
    </r>
    <r>
      <rPr>
        <sz val="13"/>
        <rFont val="Arial"/>
        <family val="2"/>
      </rPr>
      <t xml:space="preserve"> (℃)</t>
    </r>
  </si>
  <si>
    <t xml:space="preserve">  RaSP Mref</t>
  </si>
  <si>
    <t xml:space="preserve">  RaSV Mref</t>
  </si>
  <si>
    <t xml:space="preserve">  RaGV Mref</t>
  </si>
  <si>
    <t xml:space="preserve">  RaRU Mref</t>
  </si>
  <si>
    <t xml:space="preserve">  RaDT Mref</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</si>
</sst>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_-* #,##0.00\ _€_-;\-* #,##0.00\ _€_-;_-* &quot;-&quot;??\ _€_-;_-@_-"/>
    <numFmt numFmtId="165" formatCode="0.00_);[Red]\(0.00\)"/>
    <numFmt numFmtId="166" formatCode="0.00_ "/>
    <numFmt numFmtId="167" formatCode="0.0000_ "/>
    <numFmt numFmtId="168" formatCode="0.000_ "/>
    <numFmt numFmtId="169" formatCode="0.000E+00"/>
    <numFmt numFmtId="170" formatCode="#,##0.000_ "/>
    <numFmt numFmtId="171" formatCode="0.0_ "/>
    <numFmt numFmtId="172" formatCode="0.0_);[Red]\(0.0\)"/>
    <numFmt numFmtId="173" formatCode="#,##0.0_ "/>
    <numFmt numFmtId="174" formatCode="0.0000E+00"/>
    <numFmt numFmtId="175" formatCode="0.00000_ "/>
    <numFmt numFmtId="176" formatCode="0.000_);[Red]\(0.000\)"/>
    <numFmt numFmtId="177" formatCode="0.000000_ "/>
    <numFmt numFmtId="178" formatCode="0.00000000_ "/>
    <numFmt numFmtId="179" formatCode="0.00000"/>
    <numFmt numFmtId="180" formatCode="0.0000_);[Red]\(0.0000\)"/>
    <numFmt numFmtId="181" formatCode="0.0000000_ "/>
    <numFmt numFmtId="182" formatCode="#,##0_ "/>
    <numFmt numFmtId="183" formatCode="#,##0.00_ "/>
    <numFmt numFmtId="184" formatCode="0.0"/>
    <numFmt numFmtId="185" formatCode="0.0000"/>
    <numFmt numFmtId="186" formatCode="0.000000000"/>
  </numFmts>
  <fonts count="161">
    <font>
      <sz val="10"/>
      <color theme="1"/>
      <name val="Arial"/>
      <family val="2"/>
    </font>
    <font>
      <sz val="10"/>
      <color theme="1"/>
      <name val="Arial"/>
      <family val="2"/>
    </font>
    <font>
      <sz val="10"/>
      <color rgb="FFFF0000"/>
      <name val="Arial"/>
      <family val="2"/>
    </font>
    <font>
      <b/>
      <sz val="10"/>
      <color theme="1"/>
      <name val="Arial"/>
      <family val="2"/>
    </font>
    <font>
      <b/>
      <sz val="11"/>
      <name val="Arial"/>
      <family val="2"/>
    </font>
    <font>
      <b/>
      <u/>
      <sz val="14"/>
      <color indexed="10"/>
      <name val="Arial"/>
      <family val="2"/>
    </font>
    <font>
      <b/>
      <sz val="14"/>
      <name val="Arial"/>
      <family val="2"/>
    </font>
    <font>
      <sz val="14"/>
      <name val="Arial"/>
      <family val="2"/>
    </font>
    <font>
      <b/>
      <sz val="18"/>
      <name val="Arial"/>
      <family val="2"/>
    </font>
    <font>
      <b/>
      <sz val="14"/>
      <name val="Century"/>
      <family val="1"/>
    </font>
    <font>
      <b/>
      <sz val="16"/>
      <name val="Arial"/>
      <family val="2"/>
    </font>
    <font>
      <sz val="16"/>
      <name val="Arial"/>
      <family val="2"/>
    </font>
    <font>
      <b/>
      <sz val="16"/>
      <name val="ＭＳ Ｐゴシック"/>
      <family val="3"/>
      <charset val="128"/>
    </font>
    <font>
      <sz val="16"/>
      <name val="ＭＳ Ｐゴシック"/>
      <family val="3"/>
      <charset val="128"/>
    </font>
    <font>
      <sz val="11"/>
      <name val="Arial"/>
      <family val="2"/>
    </font>
    <font>
      <b/>
      <sz val="16"/>
      <name val="Century"/>
      <family val="1"/>
    </font>
    <font>
      <b/>
      <u/>
      <sz val="16"/>
      <name val="Arial"/>
      <family val="2"/>
    </font>
    <font>
      <b/>
      <u/>
      <sz val="16"/>
      <color theme="1"/>
      <name val="Arial"/>
      <family val="2"/>
    </font>
    <font>
      <b/>
      <sz val="11"/>
      <name val="Century"/>
      <family val="1"/>
    </font>
    <font>
      <u/>
      <sz val="14"/>
      <name val="Arial"/>
      <family val="2"/>
    </font>
    <font>
      <sz val="9"/>
      <name val="Arial"/>
      <family val="2"/>
    </font>
    <font>
      <b/>
      <sz val="10"/>
      <name val="Arial"/>
      <family val="2"/>
    </font>
    <font>
      <sz val="10"/>
      <name val="Arial"/>
      <family val="2"/>
    </font>
    <font>
      <b/>
      <sz val="10"/>
      <name val="Century"/>
      <family val="1"/>
    </font>
    <font>
      <sz val="10"/>
      <name val="Century"/>
      <family val="1"/>
    </font>
    <font>
      <i/>
      <sz val="11"/>
      <name val="Arial"/>
      <family val="2"/>
    </font>
    <font>
      <b/>
      <u/>
      <sz val="12"/>
      <name val="Arial"/>
      <family val="2"/>
    </font>
    <font>
      <i/>
      <sz val="10"/>
      <name val="Arial"/>
      <family val="2"/>
    </font>
    <font>
      <vertAlign val="subscript"/>
      <sz val="10"/>
      <name val="Arial"/>
      <family val="2"/>
    </font>
    <font>
      <sz val="11"/>
      <color theme="1"/>
      <name val="Arial"/>
      <family val="2"/>
    </font>
    <font>
      <sz val="11"/>
      <name val="ＭＳ Ｐゴシック"/>
      <family val="3"/>
      <charset val="128"/>
    </font>
    <font>
      <b/>
      <u/>
      <sz val="11"/>
      <color rgb="FF002060"/>
      <name val="Arial"/>
      <family val="2"/>
    </font>
    <font>
      <sz val="11"/>
      <name val="Century"/>
      <family val="1"/>
    </font>
    <font>
      <b/>
      <sz val="10"/>
      <color rgb="FF002060"/>
      <name val="Arial"/>
      <family val="2"/>
    </font>
    <font>
      <sz val="10"/>
      <color rgb="FF000000"/>
      <name val="Arial"/>
      <family val="2"/>
    </font>
    <font>
      <b/>
      <sz val="11"/>
      <name val="ＭＳ Ｐゴシック"/>
      <family val="3"/>
      <charset val="128"/>
    </font>
    <font>
      <b/>
      <sz val="11"/>
      <color rgb="FF002060"/>
      <name val="Arial"/>
      <family val="2"/>
    </font>
    <font>
      <b/>
      <sz val="11"/>
      <color theme="1"/>
      <name val="Arial"/>
      <family val="2"/>
    </font>
    <font>
      <b/>
      <sz val="10"/>
      <color rgb="FFFF0000"/>
      <name val="Arial"/>
      <family val="2"/>
    </font>
    <font>
      <b/>
      <vertAlign val="subscript"/>
      <sz val="11"/>
      <name val="Arial"/>
      <family val="2"/>
    </font>
    <font>
      <b/>
      <sz val="12"/>
      <color indexed="10"/>
      <name val="Arial"/>
      <family val="2"/>
    </font>
    <font>
      <b/>
      <u/>
      <sz val="11"/>
      <name val="Arial"/>
      <family val="2"/>
    </font>
    <font>
      <vertAlign val="subscript"/>
      <sz val="11"/>
      <name val="Arial"/>
      <family val="2"/>
    </font>
    <font>
      <vertAlign val="superscript"/>
      <sz val="11"/>
      <name val="Arial"/>
      <family val="2"/>
    </font>
    <font>
      <sz val="11"/>
      <name val="Symbol"/>
      <family val="1"/>
      <charset val="2"/>
    </font>
    <font>
      <sz val="14"/>
      <name val="Symbol"/>
      <family val="1"/>
      <charset val="2"/>
    </font>
    <font>
      <sz val="11"/>
      <color indexed="8"/>
      <name val="Arial"/>
      <family val="2"/>
    </font>
    <font>
      <sz val="11"/>
      <name val="Calibri"/>
      <family val="2"/>
    </font>
    <font>
      <vertAlign val="superscript"/>
      <sz val="10"/>
      <name val="Arial"/>
      <family val="2"/>
    </font>
    <font>
      <sz val="11"/>
      <color indexed="10"/>
      <name val="Arial"/>
      <family val="2"/>
    </font>
    <font>
      <b/>
      <sz val="11"/>
      <color rgb="FFFF0000"/>
      <name val="Arial"/>
      <family val="2"/>
    </font>
    <font>
      <b/>
      <sz val="9.5"/>
      <color rgb="FFFF0000"/>
      <name val="Arial"/>
      <family val="2"/>
    </font>
    <font>
      <b/>
      <sz val="9.5"/>
      <color indexed="10"/>
      <name val="Arial"/>
      <family val="2"/>
    </font>
    <font>
      <vertAlign val="superscript"/>
      <sz val="9"/>
      <name val="Arial"/>
      <family val="2"/>
    </font>
    <font>
      <i/>
      <sz val="9"/>
      <name val="Arial"/>
      <family val="2"/>
    </font>
    <font>
      <vertAlign val="subscript"/>
      <sz val="9"/>
      <name val="Arial"/>
      <family val="2"/>
    </font>
    <font>
      <b/>
      <sz val="9"/>
      <color indexed="81"/>
      <name val="Tahoma"/>
      <family val="2"/>
    </font>
    <font>
      <sz val="9"/>
      <color indexed="81"/>
      <name val="Tahoma"/>
      <family val="2"/>
    </font>
    <font>
      <sz val="11"/>
      <color rgb="FFFF0000"/>
      <name val="Arial"/>
      <family val="2"/>
    </font>
    <font>
      <strike/>
      <sz val="11"/>
      <name val="Arial"/>
      <family val="2"/>
    </font>
    <font>
      <sz val="11"/>
      <color rgb="FF002060"/>
      <name val="Arial"/>
      <family val="2"/>
    </font>
    <font>
      <u/>
      <sz val="14"/>
      <name val="Times New Roman"/>
      <family val="1"/>
    </font>
    <font>
      <b/>
      <sz val="12"/>
      <name val="Arial"/>
      <family val="2"/>
    </font>
    <font>
      <u/>
      <sz val="12"/>
      <name val="Arial"/>
      <family val="2"/>
    </font>
    <font>
      <sz val="10.5"/>
      <name val="Arial"/>
      <family val="2"/>
    </font>
    <font>
      <strike/>
      <sz val="10"/>
      <color rgb="FF000000"/>
      <name val="Arial"/>
      <family val="2"/>
    </font>
    <font>
      <sz val="12"/>
      <name val="Arial"/>
      <family val="2"/>
    </font>
    <font>
      <b/>
      <u/>
      <sz val="12"/>
      <color rgb="FF002060"/>
      <name val="Arial"/>
      <family val="2"/>
    </font>
    <font>
      <sz val="10"/>
      <name val="ＭＳ Ｐゴシック"/>
      <family val="3"/>
      <charset val="128"/>
    </font>
    <font>
      <b/>
      <sz val="10"/>
      <color rgb="FF000000"/>
      <name val="Arial"/>
      <family val="2"/>
    </font>
    <font>
      <sz val="12"/>
      <color rgb="FF000000"/>
      <name val="Arial"/>
      <family val="2"/>
    </font>
    <font>
      <b/>
      <sz val="12"/>
      <color rgb="FFFF0000"/>
      <name val="Arial"/>
      <family val="2"/>
    </font>
    <font>
      <b/>
      <sz val="11"/>
      <color indexed="10"/>
      <name val="Arial"/>
      <family val="2"/>
    </font>
    <font>
      <sz val="11"/>
      <color theme="0"/>
      <name val="Arial"/>
      <family val="2"/>
    </font>
    <font>
      <u/>
      <sz val="11"/>
      <name val="Arial"/>
      <family val="2"/>
    </font>
    <font>
      <b/>
      <u/>
      <sz val="11"/>
      <name val="Century"/>
      <family val="1"/>
    </font>
    <font>
      <sz val="11"/>
      <color rgb="FF002060"/>
      <name val="ＭＳ Ｐゴシック"/>
      <family val="3"/>
      <charset val="128"/>
    </font>
    <font>
      <b/>
      <sz val="10.5"/>
      <name val="Arial"/>
      <family val="2"/>
    </font>
    <font>
      <strike/>
      <sz val="11"/>
      <name val="Symbol"/>
      <family val="1"/>
      <charset val="2"/>
    </font>
    <font>
      <sz val="11"/>
      <name val="Calibri"/>
      <family val="2"/>
      <scheme val="minor"/>
    </font>
    <font>
      <b/>
      <sz val="11"/>
      <color indexed="10"/>
      <name val="Century"/>
      <family val="1"/>
    </font>
    <font>
      <b/>
      <u/>
      <sz val="14"/>
      <name val="Arial"/>
      <family val="2"/>
    </font>
    <font>
      <b/>
      <strike/>
      <sz val="11"/>
      <name val="Arial"/>
      <family val="2"/>
    </font>
    <font>
      <sz val="11"/>
      <color rgb="FFFF0000"/>
      <name val="Century"/>
      <family val="1"/>
    </font>
    <font>
      <sz val="11"/>
      <color rgb="FFFF0000"/>
      <name val="ＭＳ Ｐゴシック"/>
      <family val="3"/>
      <charset val="128"/>
    </font>
    <font>
      <sz val="11"/>
      <color theme="0"/>
      <name val="ＭＳ Ｐゴシック"/>
      <family val="3"/>
      <charset val="128"/>
    </font>
    <font>
      <b/>
      <sz val="11"/>
      <color theme="8" tint="-0.499984740745262"/>
      <name val="Arial"/>
      <family val="2"/>
    </font>
    <font>
      <b/>
      <sz val="10"/>
      <color theme="8" tint="-0.499984740745262"/>
      <name val="Arial"/>
      <family val="2"/>
    </font>
    <font>
      <b/>
      <strike/>
      <sz val="10"/>
      <color rgb="FF002060"/>
      <name val="Arial"/>
      <family val="2"/>
    </font>
    <font>
      <strike/>
      <sz val="11"/>
      <name val="Century"/>
      <family val="1"/>
    </font>
    <font>
      <b/>
      <sz val="11"/>
      <color rgb="FF0070C0"/>
      <name val="Arial"/>
      <family val="2"/>
    </font>
    <font>
      <sz val="9"/>
      <color rgb="FFFF0000"/>
      <name val="Arial"/>
      <family val="2"/>
    </font>
    <font>
      <b/>
      <sz val="10"/>
      <color rgb="FF0070C0"/>
      <name val="Arial"/>
      <family val="2"/>
    </font>
    <font>
      <sz val="11"/>
      <color theme="1"/>
      <name val="ＭＳ Ｐゴシック"/>
      <family val="3"/>
      <charset val="128"/>
    </font>
    <font>
      <sz val="12"/>
      <color theme="1"/>
      <name val="Arial"/>
      <family val="2"/>
    </font>
    <font>
      <vertAlign val="subscript"/>
      <sz val="11"/>
      <color theme="1"/>
      <name val="Arial"/>
      <family val="2"/>
    </font>
    <font>
      <b/>
      <i/>
      <sz val="11"/>
      <name val="Arial"/>
      <family val="2"/>
    </font>
    <font>
      <i/>
      <sz val="9"/>
      <color indexed="81"/>
      <name val="Tahoma"/>
      <family val="2"/>
    </font>
    <font>
      <b/>
      <sz val="14"/>
      <color theme="1"/>
      <name val="Arial"/>
      <family val="2"/>
    </font>
    <font>
      <b/>
      <sz val="11"/>
      <color theme="1"/>
      <name val="Symbol"/>
      <family val="1"/>
      <charset val="2"/>
    </font>
    <font>
      <sz val="8"/>
      <color theme="1"/>
      <name val="Arial"/>
      <family val="2"/>
    </font>
    <font>
      <b/>
      <sz val="11"/>
      <color theme="1"/>
      <name val="Calibri"/>
      <family val="2"/>
    </font>
    <font>
      <b/>
      <sz val="11"/>
      <name val="Calibri"/>
      <family val="2"/>
    </font>
    <font>
      <b/>
      <sz val="14"/>
      <color rgb="FF002060"/>
      <name val="Arial"/>
      <family val="2"/>
    </font>
    <font>
      <vertAlign val="subscript"/>
      <sz val="11"/>
      <color rgb="FFFF0000"/>
      <name val="Arial"/>
      <family val="2"/>
    </font>
    <font>
      <i/>
      <sz val="11"/>
      <color rgb="FFFF0000"/>
      <name val="Arial"/>
      <family val="2"/>
    </font>
    <font>
      <b/>
      <sz val="10.5"/>
      <color rgb="FF0070C0"/>
      <name val="Arial"/>
      <family val="2"/>
    </font>
    <font>
      <b/>
      <sz val="10"/>
      <color theme="0"/>
      <name val="Arial"/>
      <family val="2"/>
    </font>
    <font>
      <sz val="11"/>
      <color theme="8" tint="-0.499984740745262"/>
      <name val="Arial"/>
      <family val="2"/>
    </font>
    <font>
      <sz val="12"/>
      <color rgb="FFFF0000"/>
      <name val="Arial"/>
      <family val="2"/>
    </font>
    <font>
      <sz val="11"/>
      <color rgb="FF000000"/>
      <name val="Arial"/>
      <family val="2"/>
    </font>
    <font>
      <b/>
      <sz val="11"/>
      <color indexed="50"/>
      <name val="Arial"/>
      <family val="2"/>
    </font>
    <font>
      <i/>
      <sz val="10"/>
      <name val="Calibri"/>
      <family val="2"/>
    </font>
    <font>
      <b/>
      <i/>
      <sz val="14"/>
      <name val="Arial"/>
      <family val="2"/>
    </font>
    <font>
      <i/>
      <sz val="11"/>
      <color theme="1"/>
      <name val="Arial"/>
      <family val="2"/>
    </font>
    <font>
      <b/>
      <i/>
      <sz val="11"/>
      <color theme="1"/>
      <name val="Arial"/>
      <family val="2"/>
    </font>
    <font>
      <i/>
      <vertAlign val="subscript"/>
      <sz val="11"/>
      <color theme="1"/>
      <name val="Arial"/>
      <family val="2"/>
    </font>
    <font>
      <u/>
      <sz val="11"/>
      <name val="Times New Roman"/>
      <family val="1"/>
    </font>
    <font>
      <b/>
      <sz val="9"/>
      <name val="Arial"/>
      <family val="2"/>
    </font>
    <font>
      <sz val="9"/>
      <color theme="1"/>
      <name val="Arial"/>
      <family val="2"/>
    </font>
    <font>
      <b/>
      <vertAlign val="subscript"/>
      <sz val="14"/>
      <name val="Arial"/>
      <family val="2"/>
    </font>
    <font>
      <b/>
      <sz val="14"/>
      <name val="Cambria"/>
      <family val="1"/>
      <scheme val="major"/>
    </font>
    <font>
      <b/>
      <i/>
      <sz val="14"/>
      <name val="Cambria"/>
      <family val="1"/>
      <scheme val="major"/>
    </font>
    <font>
      <sz val="12"/>
      <name val="ＭＳ Ｐゴシック"/>
      <family val="3"/>
      <charset val="128"/>
    </font>
    <font>
      <sz val="13"/>
      <name val="Arial"/>
      <family val="2"/>
    </font>
    <font>
      <i/>
      <sz val="13"/>
      <name val="Arial"/>
      <family val="2"/>
    </font>
    <font>
      <vertAlign val="subscript"/>
      <sz val="13"/>
      <name val="Arial"/>
      <family val="2"/>
    </font>
    <font>
      <vertAlign val="superscript"/>
      <sz val="13"/>
      <name val="Arial"/>
      <family val="2"/>
    </font>
    <font>
      <i/>
      <sz val="13"/>
      <name val="Cambria"/>
      <family val="1"/>
      <scheme val="major"/>
    </font>
    <font>
      <b/>
      <sz val="13"/>
      <name val="Arial"/>
      <family val="2"/>
    </font>
    <font>
      <sz val="13"/>
      <name val="ＭＳ Ｐゴシック"/>
      <family val="3"/>
      <charset val="128"/>
    </font>
    <font>
      <sz val="13"/>
      <color rgb="FF000000"/>
      <name val="Arial"/>
      <family val="2"/>
    </font>
    <font>
      <i/>
      <sz val="13"/>
      <color rgb="FF000000"/>
      <name val="Arial"/>
      <family val="2"/>
    </font>
    <font>
      <vertAlign val="subscript"/>
      <sz val="13"/>
      <color rgb="FF000000"/>
      <name val="Arial"/>
      <family val="2"/>
    </font>
    <font>
      <b/>
      <sz val="13"/>
      <color rgb="FFFF0000"/>
      <name val="Arial"/>
      <family val="2"/>
    </font>
    <font>
      <b/>
      <vertAlign val="subscript"/>
      <sz val="13"/>
      <name val="Arial"/>
      <family val="2"/>
    </font>
    <font>
      <sz val="14"/>
      <color rgb="FFFF0000"/>
      <name val="Arial"/>
      <family val="2"/>
    </font>
    <font>
      <i/>
      <sz val="14"/>
      <color rgb="FFFF0000"/>
      <name val="Arial"/>
      <family val="2"/>
    </font>
    <font>
      <vertAlign val="subscript"/>
      <sz val="14"/>
      <color rgb="FFFF0000"/>
      <name val="Arial"/>
      <family val="2"/>
    </font>
    <font>
      <sz val="14"/>
      <color theme="0"/>
      <name val="Arial"/>
      <family val="2"/>
    </font>
    <font>
      <i/>
      <sz val="14"/>
      <color theme="0"/>
      <name val="Arial"/>
      <family val="2"/>
    </font>
    <font>
      <vertAlign val="subscript"/>
      <sz val="14"/>
      <color theme="0"/>
      <name val="Arial"/>
      <family val="2"/>
    </font>
    <font>
      <vertAlign val="superscript"/>
      <sz val="14"/>
      <color theme="0"/>
      <name val="Arial"/>
      <family val="2"/>
    </font>
    <font>
      <vertAlign val="subscript"/>
      <sz val="11"/>
      <color theme="0"/>
      <name val="Arial"/>
      <family val="2"/>
    </font>
    <font>
      <sz val="11"/>
      <color indexed="81"/>
      <name val="Tahoma"/>
      <family val="2"/>
    </font>
    <font>
      <i/>
      <sz val="11"/>
      <color indexed="81"/>
      <name val="Tahoma"/>
      <family val="2"/>
    </font>
    <font>
      <i/>
      <vertAlign val="subscript"/>
      <sz val="11"/>
      <color indexed="81"/>
      <name val="Tahoma"/>
      <family val="2"/>
    </font>
    <font>
      <sz val="12"/>
      <color indexed="81"/>
      <name val="Tahoma"/>
      <family val="2"/>
    </font>
    <font>
      <i/>
      <vertAlign val="subscript"/>
      <sz val="12"/>
      <color indexed="81"/>
      <name val="Tahoma"/>
      <family val="2"/>
    </font>
    <font>
      <sz val="12"/>
      <color indexed="81"/>
      <name val="Symbol"/>
      <family val="1"/>
      <charset val="2"/>
    </font>
    <font>
      <b/>
      <sz val="12"/>
      <color rgb="FF002060"/>
      <name val="Arial"/>
      <family val="2"/>
    </font>
    <font>
      <sz val="12"/>
      <name val="Century"/>
      <family val="1"/>
    </font>
    <font>
      <b/>
      <i/>
      <sz val="13"/>
      <name val="Arial"/>
      <family val="2"/>
    </font>
    <font>
      <b/>
      <i/>
      <vertAlign val="subscript"/>
      <sz val="13"/>
      <name val="Arial"/>
      <family val="2"/>
    </font>
    <font>
      <sz val="11"/>
      <color theme="0"/>
      <name val="Century"/>
      <family val="1"/>
    </font>
    <font>
      <sz val="13"/>
      <name val="Symbol"/>
      <family val="1"/>
      <charset val="2"/>
    </font>
    <font>
      <sz val="13"/>
      <name val="Times New Roman"/>
      <family val="1"/>
    </font>
    <font>
      <i/>
      <sz val="13"/>
      <name val="Calibri"/>
      <family val="2"/>
    </font>
    <font>
      <i/>
      <sz val="11"/>
      <color rgb="FF000000"/>
      <name val="Calibri"/>
      <family val="2"/>
    </font>
    <font>
      <vertAlign val="subscript"/>
      <sz val="11"/>
      <color rgb="FF000000"/>
      <name val="Arial"/>
      <family val="2"/>
    </font>
    <font>
      <i/>
      <sz val="11"/>
      <color rgb="FF000000"/>
      <name val="Arial"/>
      <family val="2"/>
    </font>
  </fonts>
  <fills count="1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CCFFCC"/>
        <bgColor indexed="64"/>
      </patternFill>
    </fill>
    <fill>
      <patternFill patternType="lightGray">
        <fgColor indexed="14"/>
        <bgColor indexed="9"/>
      </patternFill>
    </fill>
    <fill>
      <patternFill patternType="lightGray">
        <fgColor indexed="29"/>
        <bgColor indexed="9"/>
      </patternFill>
    </fill>
    <fill>
      <patternFill patternType="solid">
        <fgColor indexed="42"/>
        <bgColor indexed="64"/>
      </patternFill>
    </fill>
    <fill>
      <patternFill patternType="lightGray">
        <fgColor theme="0"/>
        <bgColor theme="0"/>
      </patternFill>
    </fill>
    <fill>
      <patternFill patternType="gray125">
        <fgColor theme="0"/>
        <bgColor indexed="42"/>
      </patternFill>
    </fill>
    <fill>
      <patternFill patternType="gray125">
        <fgColor theme="0"/>
        <bgColor theme="0"/>
      </patternFill>
    </fill>
    <fill>
      <patternFill patternType="lightGray">
        <fgColor indexed="29"/>
        <bgColor theme="0"/>
      </patternFill>
    </fill>
    <fill>
      <patternFill patternType="solid">
        <fgColor theme="0"/>
        <bgColor theme="0"/>
      </patternFill>
    </fill>
    <fill>
      <patternFill patternType="solid">
        <fgColor rgb="FFFFFFFF"/>
        <bgColor indexed="64"/>
      </patternFill>
    </fill>
    <fill>
      <patternFill patternType="gray125">
        <fgColor theme="0"/>
        <bgColor rgb="FFFFFF99"/>
      </patternFill>
    </fill>
  </fills>
  <borders count="39">
    <border>
      <left/>
      <right/>
      <top/>
      <bottom/>
      <diagonal/>
    </border>
    <border>
      <left style="dashDot">
        <color auto="1"/>
      </left>
      <right/>
      <top/>
      <bottom/>
      <diagonal/>
    </border>
    <border>
      <left/>
      <right style="dashDot">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dashDot">
        <color auto="1"/>
      </left>
      <right/>
      <top style="thin">
        <color indexed="64"/>
      </top>
      <bottom style="thin">
        <color indexed="64"/>
      </bottom>
      <diagonal/>
    </border>
    <border>
      <left style="dashDot">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dashDot">
        <color auto="1"/>
      </left>
      <right style="thin">
        <color indexed="64"/>
      </right>
      <top style="thin">
        <color indexed="64"/>
      </top>
      <bottom/>
      <diagonal/>
    </border>
    <border>
      <left/>
      <right/>
      <top/>
      <bottom style="medium">
        <color indexed="64"/>
      </bottom>
      <diagonal/>
    </border>
    <border>
      <left style="thin">
        <color theme="0"/>
      </left>
      <right style="thin">
        <color theme="0"/>
      </right>
      <top style="thin">
        <color theme="0"/>
      </top>
      <bottom style="thin">
        <color theme="0"/>
      </bottom>
      <diagonal/>
    </border>
  </borders>
  <cellStyleXfs count="6">
    <xf numFmtId="0" fontId="0" fillId="0" borderId="0"/>
    <xf numFmtId="0" fontId="30" fillId="0" borderId="0"/>
    <xf numFmtId="0" fontId="30" fillId="0" borderId="0"/>
    <xf numFmtId="0" fontId="30" fillId="0" borderId="0"/>
    <xf numFmtId="0" fontId="30" fillId="0" borderId="0"/>
    <xf numFmtId="164" fontId="1" fillId="0" borderId="0" applyFont="0" applyFill="0" applyBorder="0" applyAlignment="0" applyProtection="0"/>
  </cellStyleXfs>
  <cellXfs count="1307">
    <xf numFmtId="0" fontId="0" fillId="0" borderId="0" xfId="0"/>
    <xf numFmtId="0" fontId="0" fillId="2" borderId="0" xfId="0" applyFill="1" applyProtection="1"/>
    <xf numFmtId="49" fontId="4" fillId="2" borderId="0" xfId="0" applyNumberFormat="1" applyFont="1" applyFill="1" applyAlignment="1" applyProtection="1"/>
    <xf numFmtId="0" fontId="5" fillId="2" borderId="0" xfId="0" applyFont="1" applyFill="1" applyAlignment="1" applyProtection="1">
      <alignment vertical="top"/>
    </xf>
    <xf numFmtId="0" fontId="0" fillId="2" borderId="0" xfId="0" applyFont="1" applyFill="1" applyProtection="1"/>
    <xf numFmtId="0" fontId="0" fillId="0" borderId="0" xfId="0" applyProtection="1"/>
    <xf numFmtId="0" fontId="6" fillId="2" borderId="0" xfId="0" applyFont="1" applyFill="1" applyAlignment="1" applyProtection="1">
      <alignment vertical="top"/>
    </xf>
    <xf numFmtId="49" fontId="7" fillId="2" borderId="0" xfId="0" applyNumberFormat="1" applyFont="1" applyFill="1" applyAlignment="1" applyProtection="1">
      <alignment vertical="top"/>
    </xf>
    <xf numFmtId="0" fontId="8" fillId="2" borderId="0" xfId="0" applyFont="1" applyFill="1" applyAlignment="1" applyProtection="1">
      <alignment horizontal="center" vertical="top"/>
    </xf>
    <xf numFmtId="0" fontId="9" fillId="2" borderId="0" xfId="0" applyFont="1" applyFill="1" applyAlignment="1" applyProtection="1">
      <alignment vertical="top"/>
    </xf>
    <xf numFmtId="0" fontId="9" fillId="0" borderId="0" xfId="0" applyFont="1" applyAlignment="1" applyProtection="1">
      <alignment vertical="top"/>
    </xf>
    <xf numFmtId="0" fontId="10" fillId="2" borderId="0" xfId="0" applyFont="1" applyFill="1" applyAlignment="1" applyProtection="1">
      <alignment vertical="top"/>
    </xf>
    <xf numFmtId="49" fontId="11" fillId="2" borderId="0" xfId="0" applyNumberFormat="1" applyFont="1" applyFill="1" applyAlignment="1" applyProtection="1">
      <alignment vertical="top"/>
    </xf>
    <xf numFmtId="0" fontId="12" fillId="2" borderId="0" xfId="0" applyFont="1" applyFill="1" applyAlignment="1" applyProtection="1">
      <alignment vertical="top"/>
    </xf>
    <xf numFmtId="0" fontId="12" fillId="0" borderId="0" xfId="0" applyFont="1" applyAlignment="1" applyProtection="1">
      <alignment vertical="top"/>
    </xf>
    <xf numFmtId="0" fontId="10" fillId="2" borderId="0" xfId="0" applyFont="1" applyFill="1" applyAlignment="1" applyProtection="1">
      <alignment horizontal="center" vertical="center" wrapText="1"/>
    </xf>
    <xf numFmtId="0" fontId="11" fillId="2" borderId="0" xfId="0" applyFont="1" applyFill="1" applyAlignment="1" applyProtection="1">
      <alignment vertical="top"/>
    </xf>
    <xf numFmtId="0" fontId="11" fillId="2" borderId="0" xfId="0" applyFont="1" applyFill="1" applyAlignment="1" applyProtection="1">
      <alignment horizontal="center" vertical="center" wrapText="1"/>
    </xf>
    <xf numFmtId="0" fontId="13" fillId="2" borderId="0" xfId="0" applyFont="1" applyFill="1" applyAlignment="1" applyProtection="1">
      <alignment vertical="top"/>
    </xf>
    <xf numFmtId="0" fontId="13" fillId="0" borderId="0" xfId="0" applyFont="1" applyAlignment="1" applyProtection="1">
      <alignment vertical="top"/>
    </xf>
    <xf numFmtId="0" fontId="14" fillId="2" borderId="0" xfId="0" applyFont="1" applyFill="1" applyAlignment="1" applyProtection="1">
      <alignment horizontal="center" vertical="top" wrapText="1"/>
    </xf>
    <xf numFmtId="0" fontId="15" fillId="2" borderId="0" xfId="0" applyFont="1" applyFill="1" applyAlignment="1" applyProtection="1">
      <alignment vertical="top"/>
    </xf>
    <xf numFmtId="0" fontId="15" fillId="0" borderId="0" xfId="0" applyFont="1" applyAlignment="1" applyProtection="1">
      <alignment vertical="top"/>
    </xf>
    <xf numFmtId="0" fontId="16" fillId="2" borderId="0" xfId="0" applyFont="1" applyFill="1" applyAlignment="1" applyProtection="1">
      <alignment horizontal="center" vertical="center" wrapText="1"/>
    </xf>
    <xf numFmtId="0" fontId="6" fillId="2" borderId="0" xfId="0" applyFont="1" applyFill="1" applyAlignment="1" applyProtection="1">
      <alignment horizontal="center" vertical="top" wrapText="1"/>
    </xf>
    <xf numFmtId="0" fontId="0" fillId="2" borderId="0" xfId="0" applyFont="1" applyFill="1" applyAlignment="1" applyProtection="1">
      <alignment wrapText="1"/>
    </xf>
    <xf numFmtId="0" fontId="17" fillId="2" borderId="0" xfId="0" applyFont="1" applyFill="1" applyBorder="1" applyAlignment="1" applyProtection="1">
      <alignment horizontal="center" vertical="top"/>
    </xf>
    <xf numFmtId="0" fontId="6" fillId="0" borderId="0" xfId="0" applyFont="1" applyAlignment="1" applyProtection="1">
      <alignment vertical="top"/>
    </xf>
    <xf numFmtId="49" fontId="6" fillId="2" borderId="0" xfId="0" applyNumberFormat="1" applyFont="1" applyFill="1" applyAlignment="1" applyProtection="1">
      <alignment vertical="top"/>
    </xf>
    <xf numFmtId="0" fontId="4" fillId="2" borderId="0" xfId="0" applyFont="1" applyFill="1" applyAlignment="1" applyProtection="1">
      <alignment vertical="top"/>
    </xf>
    <xf numFmtId="49" fontId="14" fillId="2" borderId="0" xfId="0" applyNumberFormat="1" applyFont="1" applyFill="1" applyAlignment="1" applyProtection="1">
      <alignment vertical="top"/>
    </xf>
    <xf numFmtId="0" fontId="14" fillId="2" borderId="0" xfId="0" applyFont="1" applyFill="1" applyAlignment="1" applyProtection="1">
      <alignment horizontal="justify" vertical="top" wrapText="1"/>
    </xf>
    <xf numFmtId="0" fontId="18" fillId="2" borderId="0" xfId="0" applyFont="1" applyFill="1" applyAlignment="1" applyProtection="1">
      <alignment vertical="top"/>
    </xf>
    <xf numFmtId="0" fontId="18" fillId="0" borderId="0" xfId="0" applyFont="1" applyAlignment="1" applyProtection="1">
      <alignment vertical="top"/>
    </xf>
    <xf numFmtId="0" fontId="21" fillId="2" borderId="0" xfId="0" applyFont="1" applyFill="1" applyAlignment="1" applyProtection="1">
      <alignment vertical="top" wrapText="1"/>
    </xf>
    <xf numFmtId="49" fontId="22" fillId="2" borderId="0" xfId="0" applyNumberFormat="1" applyFont="1" applyFill="1" applyAlignment="1" applyProtection="1">
      <alignment vertical="top" wrapText="1"/>
    </xf>
    <xf numFmtId="0" fontId="23" fillId="2" borderId="0" xfId="0" applyFont="1" applyFill="1" applyAlignment="1" applyProtection="1">
      <alignment vertical="top" wrapText="1"/>
    </xf>
    <xf numFmtId="0" fontId="23" fillId="0" borderId="0" xfId="0" applyFont="1" applyAlignment="1" applyProtection="1">
      <alignment vertical="top" wrapText="1"/>
    </xf>
    <xf numFmtId="0" fontId="22" fillId="2" borderId="0" xfId="0" applyFont="1" applyFill="1" applyProtection="1"/>
    <xf numFmtId="49" fontId="21" fillId="2" borderId="0" xfId="0" applyNumberFormat="1" applyFont="1" applyFill="1" applyAlignment="1" applyProtection="1"/>
    <xf numFmtId="0" fontId="24" fillId="2" borderId="0" xfId="0" applyFont="1" applyFill="1" applyProtection="1"/>
    <xf numFmtId="0" fontId="24" fillId="0" borderId="0" xfId="0" applyFont="1" applyProtection="1"/>
    <xf numFmtId="0" fontId="25" fillId="2" borderId="0" xfId="0" applyFont="1" applyFill="1" applyAlignment="1" applyProtection="1">
      <alignment vertical="top"/>
    </xf>
    <xf numFmtId="49" fontId="25" fillId="2" borderId="0" xfId="0" applyNumberFormat="1" applyFont="1" applyFill="1" applyAlignment="1" applyProtection="1">
      <alignment vertical="top"/>
    </xf>
    <xf numFmtId="0" fontId="25" fillId="0" borderId="0" xfId="0" applyFont="1" applyAlignment="1" applyProtection="1">
      <alignment vertical="top"/>
    </xf>
    <xf numFmtId="0" fontId="0" fillId="2" borderId="0" xfId="0" applyFill="1"/>
    <xf numFmtId="0" fontId="0" fillId="2" borderId="0" xfId="0" applyFill="1" applyProtection="1">
      <protection locked="0"/>
    </xf>
    <xf numFmtId="0" fontId="14" fillId="2" borderId="0" xfId="1" applyFont="1" applyFill="1" applyAlignment="1" applyProtection="1">
      <alignment horizontal="right"/>
    </xf>
    <xf numFmtId="0" fontId="14" fillId="2" borderId="0" xfId="1" applyFont="1" applyFill="1" applyProtection="1"/>
    <xf numFmtId="0" fontId="14" fillId="2" borderId="0" xfId="1" applyFont="1" applyFill="1" applyBorder="1" applyProtection="1"/>
    <xf numFmtId="0" fontId="30" fillId="2" borderId="0" xfId="1" applyFill="1" applyProtection="1">
      <protection locked="0"/>
    </xf>
    <xf numFmtId="0" fontId="30" fillId="2" borderId="0" xfId="1" applyFill="1" applyProtection="1"/>
    <xf numFmtId="0" fontId="30" fillId="0" borderId="0" xfId="1" applyProtection="1"/>
    <xf numFmtId="0" fontId="30" fillId="0" borderId="0" xfId="1" applyProtection="1">
      <protection locked="0"/>
    </xf>
    <xf numFmtId="0" fontId="4" fillId="2" borderId="0" xfId="1" applyFont="1" applyFill="1" applyAlignment="1" applyProtection="1">
      <alignment horizontal="right"/>
    </xf>
    <xf numFmtId="0" fontId="14" fillId="2" borderId="0" xfId="1" applyNumberFormat="1" applyFont="1" applyFill="1" applyBorder="1" applyAlignment="1" applyProtection="1">
      <alignment horizontal="center"/>
    </xf>
    <xf numFmtId="0" fontId="4" fillId="2" borderId="0" xfId="0" applyFont="1" applyFill="1" applyBorder="1" applyAlignment="1">
      <alignment horizontal="right"/>
    </xf>
    <xf numFmtId="0" fontId="30" fillId="2" borderId="0" xfId="1" applyFill="1" applyBorder="1" applyProtection="1"/>
    <xf numFmtId="0" fontId="36" fillId="0" borderId="3" xfId="1" applyNumberFormat="1" applyFont="1" applyFill="1" applyBorder="1" applyAlignment="1" applyProtection="1">
      <alignment horizontal="center" vertical="center"/>
    </xf>
    <xf numFmtId="0" fontId="36" fillId="3" borderId="3" xfId="1" applyNumberFormat="1" applyFont="1" applyFill="1" applyBorder="1" applyAlignment="1" applyProtection="1">
      <alignment horizontal="center" vertical="center"/>
      <protection locked="0"/>
    </xf>
    <xf numFmtId="0" fontId="36" fillId="2" borderId="8" xfId="1" applyNumberFormat="1" applyFont="1" applyFill="1" applyBorder="1" applyAlignment="1" applyProtection="1">
      <alignment horizontal="center"/>
    </xf>
    <xf numFmtId="0" fontId="14" fillId="0" borderId="0" xfId="1" applyFont="1" applyProtection="1"/>
    <xf numFmtId="0" fontId="37" fillId="2" borderId="0" xfId="1" applyFont="1" applyFill="1" applyProtection="1"/>
    <xf numFmtId="0" fontId="4" fillId="2" borderId="0" xfId="1" applyFont="1" applyFill="1" applyProtection="1"/>
    <xf numFmtId="0" fontId="14" fillId="2" borderId="0" xfId="0" applyFont="1" applyFill="1" applyAlignment="1" applyProtection="1">
      <alignment horizontal="right" vertical="center"/>
    </xf>
    <xf numFmtId="0" fontId="4" fillId="0" borderId="3" xfId="0" applyFont="1" applyBorder="1" applyAlignment="1" applyProtection="1">
      <alignment horizontal="center" vertical="center"/>
    </xf>
    <xf numFmtId="0" fontId="14" fillId="2" borderId="0" xfId="0" applyFont="1" applyFill="1" applyAlignment="1" applyProtection="1">
      <alignment vertical="center"/>
    </xf>
    <xf numFmtId="0" fontId="40" fillId="2" borderId="8" xfId="1" applyFont="1" applyFill="1" applyBorder="1" applyAlignment="1" applyProtection="1">
      <alignment vertical="center"/>
    </xf>
    <xf numFmtId="0" fontId="4" fillId="2" borderId="0" xfId="1" applyNumberFormat="1" applyFont="1" applyFill="1" applyAlignment="1" applyProtection="1">
      <alignment horizontal="right"/>
    </xf>
    <xf numFmtId="0" fontId="4" fillId="2" borderId="0" xfId="1" applyFont="1" applyFill="1" applyBorder="1" applyProtection="1"/>
    <xf numFmtId="0" fontId="14" fillId="0" borderId="3" xfId="1" applyFont="1" applyBorder="1" applyAlignment="1" applyProtection="1">
      <alignment horizontal="center"/>
    </xf>
    <xf numFmtId="0" fontId="14" fillId="2" borderId="0" xfId="1" applyNumberFormat="1" applyFont="1" applyFill="1" applyAlignment="1" applyProtection="1">
      <alignment horizontal="right"/>
    </xf>
    <xf numFmtId="0" fontId="14" fillId="0" borderId="3" xfId="1" applyFont="1" applyBorder="1" applyAlignment="1" applyProtection="1">
      <alignment horizontal="center" vertical="center"/>
    </xf>
    <xf numFmtId="0" fontId="14" fillId="2" borderId="0" xfId="1" applyFont="1" applyFill="1" applyBorder="1" applyAlignment="1" applyProtection="1">
      <alignment horizontal="center"/>
    </xf>
    <xf numFmtId="0" fontId="14" fillId="0" borderId="4" xfId="1" applyFont="1" applyBorder="1" applyProtection="1"/>
    <xf numFmtId="0" fontId="30" fillId="2" borderId="0" xfId="1" applyFill="1" applyAlignment="1" applyProtection="1">
      <alignment horizontal="center"/>
    </xf>
    <xf numFmtId="166" fontId="14" fillId="2" borderId="0" xfId="1" applyNumberFormat="1" applyFont="1" applyFill="1" applyBorder="1" applyProtection="1"/>
    <xf numFmtId="168" fontId="14" fillId="2" borderId="0" xfId="1" applyNumberFormat="1" applyFont="1" applyFill="1" applyBorder="1" applyProtection="1"/>
    <xf numFmtId="0" fontId="4" fillId="2" borderId="0" xfId="0" applyFont="1" applyFill="1" applyProtection="1"/>
    <xf numFmtId="0" fontId="14" fillId="2" borderId="0" xfId="0" applyFont="1" applyFill="1" applyProtection="1"/>
    <xf numFmtId="167" fontId="14" fillId="2" borderId="0" xfId="1" applyNumberFormat="1" applyFont="1" applyFill="1" applyBorder="1" applyProtection="1"/>
    <xf numFmtId="171" fontId="14" fillId="2" borderId="0" xfId="1" applyNumberFormat="1" applyFont="1" applyFill="1" applyBorder="1" applyAlignment="1" applyProtection="1">
      <alignment horizontal="center"/>
    </xf>
    <xf numFmtId="171" fontId="14" fillId="2" borderId="0" xfId="1" applyNumberFormat="1" applyFont="1" applyFill="1" applyBorder="1" applyProtection="1"/>
    <xf numFmtId="171" fontId="14" fillId="6" borderId="3" xfId="1" applyNumberFormat="1" applyFont="1" applyFill="1" applyBorder="1" applyAlignment="1" applyProtection="1">
      <alignment horizontal="center" vertical="center"/>
    </xf>
    <xf numFmtId="171" fontId="14" fillId="2" borderId="0" xfId="1" applyNumberFormat="1" applyFont="1" applyFill="1" applyBorder="1" applyProtection="1">
      <protection locked="0"/>
    </xf>
    <xf numFmtId="0" fontId="32" fillId="2" borderId="0" xfId="1" applyFont="1" applyFill="1" applyProtection="1"/>
    <xf numFmtId="0" fontId="14" fillId="2" borderId="0" xfId="3" applyFont="1" applyFill="1" applyBorder="1" applyProtection="1"/>
    <xf numFmtId="0" fontId="14" fillId="2" borderId="0" xfId="3" applyFont="1" applyFill="1" applyBorder="1" applyAlignment="1" applyProtection="1">
      <alignment horizontal="center"/>
    </xf>
    <xf numFmtId="171" fontId="14" fillId="2" borderId="0" xfId="3" applyNumberFormat="1" applyFont="1" applyFill="1" applyBorder="1" applyProtection="1"/>
    <xf numFmtId="0" fontId="4" fillId="2" borderId="0" xfId="0" applyFont="1" applyFill="1" applyAlignment="1" applyProtection="1">
      <alignment vertical="center"/>
    </xf>
    <xf numFmtId="0" fontId="14" fillId="2" borderId="0" xfId="2" applyFont="1" applyFill="1" applyAlignment="1" applyProtection="1">
      <alignment vertical="center"/>
    </xf>
    <xf numFmtId="172" fontId="14" fillId="2" borderId="0" xfId="2" applyNumberFormat="1" applyFont="1" applyFill="1" applyAlignment="1" applyProtection="1">
      <alignment vertical="center" wrapText="1"/>
    </xf>
    <xf numFmtId="0" fontId="14" fillId="2" borderId="0" xfId="0" applyFont="1" applyFill="1" applyAlignment="1" applyProtection="1">
      <alignment horizontal="right"/>
    </xf>
    <xf numFmtId="0" fontId="14" fillId="0" borderId="4" xfId="0" applyFont="1" applyBorder="1" applyAlignment="1" applyProtection="1">
      <alignment horizontal="left" vertical="center"/>
    </xf>
    <xf numFmtId="0" fontId="14" fillId="0" borderId="5" xfId="0" applyFont="1" applyBorder="1" applyAlignment="1" applyProtection="1">
      <alignment vertical="center"/>
    </xf>
    <xf numFmtId="0" fontId="14" fillId="3" borderId="3" xfId="0" applyFont="1" applyFill="1" applyBorder="1" applyAlignment="1" applyProtection="1">
      <alignment horizontal="center" vertical="center"/>
      <protection locked="0"/>
    </xf>
    <xf numFmtId="0" fontId="4" fillId="2" borderId="0" xfId="2" applyFont="1" applyFill="1" applyProtection="1"/>
    <xf numFmtId="0" fontId="14" fillId="2" borderId="0" xfId="2" applyFont="1" applyFill="1" applyProtection="1"/>
    <xf numFmtId="172" fontId="14" fillId="2" borderId="0" xfId="2" applyNumberFormat="1" applyFont="1" applyFill="1" applyAlignment="1" applyProtection="1">
      <alignment wrapText="1"/>
    </xf>
    <xf numFmtId="0" fontId="14" fillId="2" borderId="0" xfId="1" applyFont="1" applyFill="1" applyAlignment="1" applyProtection="1">
      <alignment horizontal="right" vertical="center"/>
    </xf>
    <xf numFmtId="0" fontId="14" fillId="2" borderId="0" xfId="1" applyFont="1" applyFill="1" applyAlignment="1" applyProtection="1">
      <alignment horizontal="right" wrapText="1"/>
    </xf>
    <xf numFmtId="0" fontId="14" fillId="0" borderId="3" xfId="2" applyFont="1" applyBorder="1" applyAlignment="1" applyProtection="1">
      <alignment horizontal="center" vertical="center" wrapText="1"/>
    </xf>
    <xf numFmtId="0" fontId="14" fillId="2" borderId="3" xfId="2" applyFont="1" applyFill="1" applyBorder="1" applyAlignment="1" applyProtection="1">
      <alignment horizontal="center" vertical="center" wrapText="1"/>
    </xf>
    <xf numFmtId="165" fontId="14" fillId="2" borderId="3" xfId="2" applyNumberFormat="1" applyFont="1" applyFill="1" applyBorder="1" applyAlignment="1" applyProtection="1">
      <alignment horizontal="left" vertical="center" wrapText="1"/>
    </xf>
    <xf numFmtId="165" fontId="14" fillId="2" borderId="3" xfId="2" applyNumberFormat="1" applyFont="1" applyFill="1" applyBorder="1" applyAlignment="1" applyProtection="1">
      <alignment vertical="center" wrapText="1"/>
    </xf>
    <xf numFmtId="171" fontId="14" fillId="2" borderId="10" xfId="2" applyNumberFormat="1" applyFont="1" applyFill="1" applyBorder="1" applyAlignment="1" applyProtection="1">
      <alignment vertical="center"/>
    </xf>
    <xf numFmtId="0" fontId="30" fillId="2" borderId="0" xfId="1" applyFill="1" applyAlignment="1" applyProtection="1">
      <alignment vertical="center"/>
    </xf>
    <xf numFmtId="171" fontId="14" fillId="2" borderId="9" xfId="2" applyNumberFormat="1" applyFont="1" applyFill="1" applyBorder="1" applyAlignment="1" applyProtection="1">
      <alignment vertical="center"/>
    </xf>
    <xf numFmtId="171" fontId="14" fillId="2" borderId="11" xfId="2" applyNumberFormat="1" applyFont="1" applyFill="1" applyBorder="1" applyAlignment="1" applyProtection="1">
      <alignment vertical="center"/>
    </xf>
    <xf numFmtId="171" fontId="14" fillId="2" borderId="10" xfId="2" applyNumberFormat="1" applyFont="1" applyFill="1" applyBorder="1" applyAlignment="1" applyProtection="1">
      <alignment vertical="center" wrapText="1"/>
    </xf>
    <xf numFmtId="171" fontId="14" fillId="2" borderId="9" xfId="2" applyNumberFormat="1" applyFont="1" applyFill="1" applyBorder="1" applyAlignment="1" applyProtection="1">
      <alignment vertical="center" wrapText="1"/>
    </xf>
    <xf numFmtId="171" fontId="14" fillId="2" borderId="11" xfId="2" applyNumberFormat="1" applyFont="1" applyFill="1" applyBorder="1" applyAlignment="1" applyProtection="1">
      <alignment vertical="center" wrapText="1"/>
    </xf>
    <xf numFmtId="171" fontId="14" fillId="2" borderId="0" xfId="2" applyNumberFormat="1" applyFont="1" applyFill="1" applyBorder="1" applyAlignment="1" applyProtection="1">
      <alignment vertical="center" wrapText="1"/>
    </xf>
    <xf numFmtId="172" fontId="14" fillId="2" borderId="0" xfId="2" applyNumberFormat="1" applyFont="1" applyFill="1" applyBorder="1" applyAlignment="1" applyProtection="1">
      <alignment vertical="center" wrapText="1"/>
      <protection locked="0"/>
    </xf>
    <xf numFmtId="0" fontId="14" fillId="0" borderId="3" xfId="2" applyFont="1" applyBorder="1" applyAlignment="1" applyProtection="1">
      <alignment horizontal="center" vertical="center"/>
    </xf>
    <xf numFmtId="172" fontId="14" fillId="2" borderId="0" xfId="2" applyNumberFormat="1" applyFont="1" applyFill="1" applyBorder="1" applyAlignment="1" applyProtection="1">
      <alignment vertical="center" wrapText="1"/>
    </xf>
    <xf numFmtId="0" fontId="4" fillId="2" borderId="0" xfId="1" applyFont="1" applyFill="1" applyAlignment="1" applyProtection="1">
      <alignment horizontal="left"/>
    </xf>
    <xf numFmtId="0" fontId="4" fillId="0" borderId="0" xfId="1" applyFont="1" applyBorder="1" applyProtection="1"/>
    <xf numFmtId="0" fontId="14" fillId="2" borderId="0" xfId="1" applyFont="1" applyFill="1" applyProtection="1">
      <protection locked="0"/>
    </xf>
    <xf numFmtId="0" fontId="30" fillId="0" borderId="0" xfId="1" applyFill="1" applyProtection="1"/>
    <xf numFmtId="0" fontId="32" fillId="0" borderId="0" xfId="1" applyFont="1" applyFill="1" applyProtection="1"/>
    <xf numFmtId="0" fontId="4" fillId="2" borderId="0" xfId="0" applyFont="1" applyFill="1" applyAlignment="1" applyProtection="1">
      <alignment horizontal="right"/>
    </xf>
    <xf numFmtId="0" fontId="4" fillId="2" borderId="0" xfId="0" applyFont="1" applyFill="1" applyAlignment="1" applyProtection="1">
      <alignment horizontal="right" vertical="center"/>
    </xf>
    <xf numFmtId="0" fontId="4" fillId="2" borderId="0" xfId="2" applyFont="1" applyFill="1" applyAlignment="1" applyProtection="1">
      <alignment vertical="center"/>
    </xf>
    <xf numFmtId="165" fontId="14" fillId="2" borderId="0" xfId="2" applyNumberFormat="1" applyFont="1" applyFill="1" applyAlignment="1" applyProtection="1">
      <alignment vertical="center"/>
    </xf>
    <xf numFmtId="0" fontId="0" fillId="0" borderId="0" xfId="0" applyFill="1" applyAlignment="1" applyProtection="1">
      <alignment horizontal="center"/>
    </xf>
    <xf numFmtId="171" fontId="14" fillId="2" borderId="0" xfId="2" applyNumberFormat="1" applyFont="1" applyFill="1" applyAlignment="1" applyProtection="1">
      <alignment vertical="center"/>
    </xf>
    <xf numFmtId="0" fontId="14" fillId="2" borderId="0" xfId="0" applyFont="1" applyFill="1" applyProtection="1">
      <protection locked="0"/>
    </xf>
    <xf numFmtId="0" fontId="0" fillId="0" borderId="0" xfId="0" applyProtection="1">
      <protection locked="0"/>
    </xf>
    <xf numFmtId="0" fontId="14" fillId="7" borderId="3" xfId="1" applyFont="1" applyFill="1" applyBorder="1" applyProtection="1"/>
    <xf numFmtId="0" fontId="36" fillId="2" borderId="0" xfId="1" applyFont="1" applyFill="1" applyProtection="1"/>
    <xf numFmtId="0" fontId="60" fillId="2" borderId="0" xfId="1" applyFont="1" applyFill="1" applyBorder="1" applyProtection="1"/>
    <xf numFmtId="0" fontId="60" fillId="2" borderId="0" xfId="1" applyNumberFormat="1" applyFont="1" applyFill="1" applyBorder="1" applyAlignment="1" applyProtection="1">
      <alignment horizontal="center"/>
    </xf>
    <xf numFmtId="0" fontId="60" fillId="2" borderId="0" xfId="1" applyFont="1" applyFill="1" applyProtection="1"/>
    <xf numFmtId="168" fontId="62" fillId="2" borderId="0" xfId="4" applyNumberFormat="1" applyFont="1" applyFill="1" applyProtection="1"/>
    <xf numFmtId="14" fontId="4" fillId="5" borderId="4" xfId="4" applyNumberFormat="1" applyFont="1" applyFill="1" applyBorder="1" applyAlignment="1" applyProtection="1">
      <alignment horizontal="centerContinuous" vertical="center"/>
    </xf>
    <xf numFmtId="0" fontId="63" fillId="5" borderId="6" xfId="4" applyNumberFormat="1" applyFont="1" applyFill="1" applyBorder="1" applyAlignment="1" applyProtection="1">
      <alignment horizontal="centerContinuous" vertical="center"/>
    </xf>
    <xf numFmtId="174" fontId="64" fillId="7" borderId="3" xfId="1" applyNumberFormat="1" applyFont="1" applyFill="1" applyBorder="1" applyAlignment="1" applyProtection="1">
      <alignment horizontal="center" vertical="center"/>
    </xf>
    <xf numFmtId="0" fontId="30" fillId="2" borderId="0" xfId="4" applyFill="1" applyProtection="1"/>
    <xf numFmtId="168" fontId="32" fillId="2" borderId="0" xfId="4" applyNumberFormat="1" applyFont="1" applyFill="1" applyProtection="1"/>
    <xf numFmtId="0" fontId="26" fillId="2" borderId="0" xfId="4" applyFont="1" applyFill="1" applyProtection="1"/>
    <xf numFmtId="0" fontId="61" fillId="2" borderId="0" xfId="4" applyFont="1" applyFill="1" applyProtection="1"/>
    <xf numFmtId="168" fontId="19" fillId="2" borderId="0" xfId="4" applyNumberFormat="1" applyFont="1" applyFill="1" applyProtection="1"/>
    <xf numFmtId="0" fontId="19" fillId="2" borderId="0" xfId="4" applyFont="1" applyFill="1" applyProtection="1"/>
    <xf numFmtId="168" fontId="19" fillId="5" borderId="6" xfId="4" applyNumberFormat="1" applyFont="1" applyFill="1" applyBorder="1" applyAlignment="1" applyProtection="1">
      <alignment horizontal="centerContinuous" vertical="center"/>
    </xf>
    <xf numFmtId="0" fontId="66" fillId="2" borderId="0" xfId="4" applyNumberFormat="1" applyFont="1" applyFill="1" applyBorder="1" applyAlignment="1" applyProtection="1">
      <alignment horizontal="center"/>
    </xf>
    <xf numFmtId="0" fontId="66" fillId="2" borderId="0" xfId="4" applyNumberFormat="1" applyFont="1" applyFill="1" applyBorder="1" applyAlignment="1" applyProtection="1"/>
    <xf numFmtId="0" fontId="66" fillId="2" borderId="0" xfId="4" applyNumberFormat="1" applyFont="1" applyFill="1" applyAlignment="1" applyProtection="1"/>
    <xf numFmtId="168" fontId="19" fillId="2" borderId="0" xfId="4" applyNumberFormat="1" applyFont="1" applyFill="1" applyAlignment="1" applyProtection="1">
      <alignment vertical="center"/>
    </xf>
    <xf numFmtId="0" fontId="4" fillId="5" borderId="4" xfId="0" applyFont="1" applyFill="1" applyBorder="1" applyAlignment="1" applyProtection="1">
      <alignment horizontal="centerContinuous" vertical="center"/>
    </xf>
    <xf numFmtId="0" fontId="14" fillId="2" borderId="0" xfId="4" applyFont="1" applyFill="1" applyProtection="1"/>
    <xf numFmtId="168" fontId="4" fillId="2" borderId="0" xfId="4" applyNumberFormat="1" applyFont="1" applyFill="1" applyProtection="1"/>
    <xf numFmtId="168" fontId="14" fillId="2" borderId="0" xfId="4" applyNumberFormat="1" applyFont="1" applyFill="1" applyProtection="1"/>
    <xf numFmtId="168" fontId="66" fillId="2" borderId="0" xfId="4" applyNumberFormat="1" applyFont="1" applyFill="1" applyProtection="1"/>
    <xf numFmtId="167" fontId="4" fillId="2" borderId="0" xfId="4" applyNumberFormat="1" applyFont="1" applyFill="1" applyAlignment="1" applyProtection="1">
      <alignment horizontal="center"/>
    </xf>
    <xf numFmtId="168" fontId="4" fillId="2" borderId="0" xfId="4" applyNumberFormat="1" applyFont="1" applyFill="1" applyAlignment="1" applyProtection="1">
      <alignment horizontal="center"/>
    </xf>
    <xf numFmtId="0" fontId="62" fillId="2" borderId="0" xfId="4" applyFont="1" applyFill="1" applyProtection="1"/>
    <xf numFmtId="0" fontId="66" fillId="2" borderId="0" xfId="4" applyFont="1" applyFill="1" applyAlignment="1" applyProtection="1">
      <alignment horizontal="left"/>
    </xf>
    <xf numFmtId="0" fontId="1" fillId="2" borderId="0" xfId="0" applyFont="1" applyFill="1" applyProtection="1"/>
    <xf numFmtId="168" fontId="31" fillId="2" borderId="0" xfId="4" applyNumberFormat="1" applyFont="1" applyFill="1" applyProtection="1"/>
    <xf numFmtId="0" fontId="22" fillId="2" borderId="0" xfId="4" applyFont="1" applyFill="1" applyProtection="1"/>
    <xf numFmtId="168" fontId="22" fillId="2" borderId="0" xfId="4" applyNumberFormat="1" applyFont="1" applyFill="1" applyProtection="1"/>
    <xf numFmtId="168" fontId="72" fillId="2" borderId="0" xfId="4" applyNumberFormat="1" applyFont="1" applyFill="1" applyBorder="1" applyAlignment="1" applyProtection="1">
      <alignment horizontal="left" vertical="top" wrapText="1"/>
    </xf>
    <xf numFmtId="0" fontId="30" fillId="2" borderId="0" xfId="4" applyFill="1" applyBorder="1" applyProtection="1"/>
    <xf numFmtId="168" fontId="72" fillId="2" borderId="0" xfId="4" applyNumberFormat="1" applyFont="1" applyFill="1" applyAlignment="1" applyProtection="1">
      <alignment horizontal="left" vertical="top" wrapText="1"/>
    </xf>
    <xf numFmtId="0" fontId="30" fillId="2" borderId="0" xfId="4" applyFill="1" applyAlignment="1" applyProtection="1">
      <alignment vertical="center"/>
    </xf>
    <xf numFmtId="168" fontId="4" fillId="2" borderId="0" xfId="4" applyNumberFormat="1" applyFont="1" applyFill="1" applyAlignment="1" applyProtection="1">
      <alignment horizontal="left"/>
    </xf>
    <xf numFmtId="168" fontId="21" fillId="2" borderId="0" xfId="4" applyNumberFormat="1" applyFont="1" applyFill="1" applyProtection="1"/>
    <xf numFmtId="0" fontId="14" fillId="2" borderId="0" xfId="1" applyFont="1" applyFill="1" applyAlignment="1" applyProtection="1">
      <alignment horizontal="right"/>
      <protection locked="0"/>
    </xf>
    <xf numFmtId="0" fontId="4" fillId="2" borderId="0" xfId="1" applyFont="1" applyFill="1" applyAlignment="1" applyProtection="1">
      <alignment horizontal="right"/>
      <protection locked="0"/>
    </xf>
    <xf numFmtId="0" fontId="4" fillId="2" borderId="0" xfId="1" applyFont="1" applyFill="1" applyProtection="1">
      <protection locked="0"/>
    </xf>
    <xf numFmtId="0" fontId="14" fillId="2" borderId="0" xfId="1" applyFont="1" applyFill="1" applyBorder="1" applyProtection="1">
      <protection locked="0"/>
    </xf>
    <xf numFmtId="0" fontId="14" fillId="2" borderId="0" xfId="0" applyFont="1" applyFill="1" applyAlignment="1" applyProtection="1">
      <alignment horizontal="right" vertical="center"/>
      <protection locked="0"/>
    </xf>
    <xf numFmtId="0" fontId="4" fillId="2" borderId="0" xfId="1" applyFont="1" applyFill="1" applyBorder="1" applyProtection="1">
      <protection locked="0"/>
    </xf>
    <xf numFmtId="0" fontId="14" fillId="2" borderId="3" xfId="1" applyFont="1" applyFill="1" applyBorder="1" applyAlignment="1" applyProtection="1">
      <alignment horizontal="center" vertical="center"/>
      <protection locked="0"/>
    </xf>
    <xf numFmtId="0" fontId="14" fillId="0" borderId="3" xfId="1" applyFont="1" applyBorder="1" applyAlignment="1" applyProtection="1">
      <alignment horizontal="center" vertical="center"/>
      <protection locked="0"/>
    </xf>
    <xf numFmtId="0" fontId="14" fillId="2" borderId="0" xfId="1" applyFont="1" applyFill="1" applyBorder="1" applyAlignment="1" applyProtection="1">
      <alignment horizontal="center"/>
      <protection locked="0"/>
    </xf>
    <xf numFmtId="0" fontId="75" fillId="2" borderId="0" xfId="3" applyFont="1" applyFill="1" applyProtection="1"/>
    <xf numFmtId="0" fontId="14" fillId="2" borderId="0" xfId="3" applyFont="1" applyFill="1" applyProtection="1"/>
    <xf numFmtId="0" fontId="41" fillId="2" borderId="0" xfId="3" applyFont="1" applyFill="1" applyProtection="1"/>
    <xf numFmtId="172" fontId="41" fillId="2" borderId="0" xfId="3" applyNumberFormat="1" applyFont="1" applyFill="1" applyAlignment="1" applyProtection="1">
      <alignment wrapText="1"/>
    </xf>
    <xf numFmtId="0" fontId="40" fillId="2" borderId="0" xfId="3" applyFont="1" applyFill="1" applyAlignment="1" applyProtection="1">
      <alignment vertical="center"/>
    </xf>
    <xf numFmtId="0" fontId="40" fillId="2" borderId="0" xfId="3" applyFont="1" applyFill="1" applyBorder="1" applyAlignment="1" applyProtection="1">
      <alignment vertical="center"/>
    </xf>
    <xf numFmtId="0" fontId="14" fillId="8" borderId="3" xfId="1" applyFont="1" applyFill="1" applyBorder="1" applyAlignment="1" applyProtection="1"/>
    <xf numFmtId="0" fontId="20" fillId="0" borderId="0" xfId="1" applyFont="1" applyAlignment="1" applyProtection="1"/>
    <xf numFmtId="0" fontId="32" fillId="0" borderId="0" xfId="3" applyFont="1" applyAlignment="1" applyProtection="1"/>
    <xf numFmtId="0" fontId="32" fillId="2" borderId="0" xfId="3" applyFont="1" applyFill="1" applyProtection="1"/>
    <xf numFmtId="0" fontId="19" fillId="2" borderId="0" xfId="4" applyFont="1" applyFill="1" applyAlignment="1" applyProtection="1">
      <alignment horizontal="right"/>
    </xf>
    <xf numFmtId="0" fontId="61" fillId="5" borderId="5" xfId="4" applyFont="1" applyFill="1" applyBorder="1" applyAlignment="1" applyProtection="1">
      <alignment horizontal="centerContinuous" vertical="center"/>
    </xf>
    <xf numFmtId="0" fontId="61" fillId="5" borderId="6" xfId="4" applyFont="1" applyFill="1" applyBorder="1" applyAlignment="1" applyProtection="1">
      <alignment horizontal="centerContinuous" vertical="center"/>
    </xf>
    <xf numFmtId="0" fontId="61" fillId="2" borderId="0" xfId="4" applyFont="1" applyFill="1" applyBorder="1" applyProtection="1"/>
    <xf numFmtId="0" fontId="14" fillId="0" borderId="3" xfId="1" applyNumberFormat="1" applyFont="1" applyFill="1" applyBorder="1" applyAlignment="1" applyProtection="1">
      <alignment horizontal="center"/>
    </xf>
    <xf numFmtId="0" fontId="14" fillId="8" borderId="3" xfId="0" applyNumberFormat="1" applyFont="1" applyFill="1" applyBorder="1" applyAlignment="1" applyProtection="1">
      <alignment horizontal="center"/>
    </xf>
    <xf numFmtId="0" fontId="4" fillId="2" borderId="0" xfId="3" applyFont="1" applyFill="1" applyProtection="1"/>
    <xf numFmtId="0" fontId="14" fillId="0" borderId="0" xfId="3" applyFont="1" applyFill="1" applyBorder="1" applyProtection="1"/>
    <xf numFmtId="0" fontId="14" fillId="0" borderId="0" xfId="3" applyFont="1" applyProtection="1"/>
    <xf numFmtId="168" fontId="64" fillId="5" borderId="6" xfId="4" applyNumberFormat="1" applyFont="1" applyFill="1" applyBorder="1" applyAlignment="1" applyProtection="1">
      <alignment horizontal="centerContinuous" vertical="center"/>
    </xf>
    <xf numFmtId="0" fontId="59" fillId="2" borderId="0" xfId="3" applyFont="1" applyFill="1" applyProtection="1"/>
    <xf numFmtId="0" fontId="14" fillId="2" borderId="0" xfId="3" applyFont="1" applyFill="1" applyAlignment="1" applyProtection="1">
      <alignment horizontal="center"/>
    </xf>
    <xf numFmtId="168" fontId="14" fillId="2" borderId="0" xfId="3" applyNumberFormat="1" applyFont="1" applyFill="1" applyBorder="1" applyProtection="1"/>
    <xf numFmtId="0" fontId="59" fillId="2" borderId="7" xfId="1" applyFont="1" applyFill="1" applyBorder="1" applyProtection="1"/>
    <xf numFmtId="166" fontId="14" fillId="2" borderId="0" xfId="3" applyNumberFormat="1" applyFont="1" applyFill="1" applyBorder="1" applyProtection="1"/>
    <xf numFmtId="0" fontId="18" fillId="2" borderId="0" xfId="3" applyFont="1" applyFill="1" applyProtection="1"/>
    <xf numFmtId="0" fontId="32" fillId="2" borderId="6" xfId="3" applyFont="1" applyFill="1" applyBorder="1" applyProtection="1"/>
    <xf numFmtId="0" fontId="14" fillId="2" borderId="6" xfId="3" applyFont="1" applyFill="1" applyBorder="1" applyProtection="1"/>
    <xf numFmtId="169" fontId="14" fillId="2" borderId="3" xfId="3" applyNumberFormat="1" applyFont="1" applyFill="1" applyBorder="1" applyAlignment="1" applyProtection="1">
      <alignment horizontal="center"/>
    </xf>
    <xf numFmtId="175" fontId="14" fillId="2" borderId="6" xfId="3" applyNumberFormat="1" applyFont="1" applyFill="1" applyBorder="1" applyProtection="1"/>
    <xf numFmtId="178" fontId="14" fillId="2" borderId="3" xfId="3" applyNumberFormat="1" applyFont="1" applyFill="1" applyBorder="1" applyAlignment="1" applyProtection="1">
      <alignment horizontal="center"/>
    </xf>
    <xf numFmtId="0" fontId="20" fillId="2" borderId="5" xfId="3" applyFont="1" applyFill="1" applyBorder="1" applyProtection="1"/>
    <xf numFmtId="0" fontId="32" fillId="2" borderId="5" xfId="3" applyFont="1" applyFill="1" applyBorder="1" applyProtection="1"/>
    <xf numFmtId="169" fontId="14" fillId="2" borderId="0" xfId="3" applyNumberFormat="1" applyFont="1" applyFill="1" applyBorder="1" applyProtection="1"/>
    <xf numFmtId="0" fontId="20" fillId="2" borderId="0" xfId="3" applyFont="1" applyFill="1" applyBorder="1" applyProtection="1"/>
    <xf numFmtId="175" fontId="14" fillId="2" borderId="0" xfId="3" applyNumberFormat="1" applyFont="1" applyFill="1" applyBorder="1" applyProtection="1"/>
    <xf numFmtId="0" fontId="75" fillId="2" borderId="0" xfId="2" applyFont="1" applyFill="1" applyProtection="1"/>
    <xf numFmtId="0" fontId="41" fillId="2" borderId="0" xfId="2" applyFont="1" applyFill="1" applyAlignment="1" applyProtection="1">
      <alignment horizontal="centerContinuous" vertical="center"/>
    </xf>
    <xf numFmtId="172" fontId="41" fillId="2" borderId="0" xfId="2" applyNumberFormat="1" applyFont="1" applyFill="1" applyAlignment="1" applyProtection="1">
      <alignment horizontal="centerContinuous" vertical="center" wrapText="1"/>
    </xf>
    <xf numFmtId="0" fontId="14" fillId="8" borderId="3" xfId="1" applyFont="1" applyFill="1" applyBorder="1" applyProtection="1"/>
    <xf numFmtId="0" fontId="22" fillId="2" borderId="0" xfId="1" applyFont="1" applyFill="1" applyProtection="1"/>
    <xf numFmtId="0" fontId="81" fillId="2" borderId="0" xfId="4" applyFont="1" applyFill="1" applyAlignment="1" applyProtection="1">
      <alignment horizontal="right"/>
    </xf>
    <xf numFmtId="0" fontId="30" fillId="2" borderId="0" xfId="2" applyFill="1" applyProtection="1"/>
    <xf numFmtId="0" fontId="4" fillId="2" borderId="0" xfId="2" applyFont="1" applyFill="1" applyAlignment="1" applyProtection="1">
      <alignment horizontal="right" vertical="center"/>
    </xf>
    <xf numFmtId="0" fontId="4" fillId="2" borderId="0" xfId="2" applyFont="1" applyFill="1" applyAlignment="1" applyProtection="1">
      <alignment horizontal="right"/>
    </xf>
    <xf numFmtId="0" fontId="14" fillId="2" borderId="0" xfId="2" applyFont="1" applyFill="1" applyBorder="1" applyProtection="1"/>
    <xf numFmtId="0" fontId="14" fillId="2" borderId="3" xfId="2" applyFont="1" applyFill="1" applyBorder="1" applyAlignment="1" applyProtection="1">
      <alignment vertical="center"/>
    </xf>
    <xf numFmtId="172" fontId="22" fillId="0" borderId="3" xfId="2" applyNumberFormat="1" applyFont="1" applyBorder="1" applyAlignment="1" applyProtection="1">
      <alignment vertical="center" wrapText="1"/>
    </xf>
    <xf numFmtId="172" fontId="4" fillId="2" borderId="0" xfId="2" applyNumberFormat="1" applyFont="1" applyFill="1" applyAlignment="1" applyProtection="1">
      <alignment vertical="center" wrapText="1"/>
    </xf>
    <xf numFmtId="0" fontId="14" fillId="2" borderId="3" xfId="2" applyFont="1" applyFill="1" applyBorder="1" applyAlignment="1" applyProtection="1">
      <alignment vertical="center" wrapText="1"/>
    </xf>
    <xf numFmtId="172" fontId="22" fillId="2" borderId="3" xfId="2" applyNumberFormat="1" applyFont="1" applyFill="1" applyBorder="1" applyAlignment="1" applyProtection="1">
      <alignment vertical="center" wrapText="1"/>
    </xf>
    <xf numFmtId="165" fontId="4" fillId="2" borderId="0" xfId="2" applyNumberFormat="1" applyFont="1" applyFill="1" applyAlignment="1" applyProtection="1">
      <alignment horizontal="right" vertical="center"/>
    </xf>
    <xf numFmtId="171" fontId="4" fillId="2" borderId="0" xfId="2" applyNumberFormat="1" applyFont="1" applyFill="1" applyAlignment="1" applyProtection="1">
      <alignment horizontal="right" vertical="center"/>
    </xf>
    <xf numFmtId="0" fontId="32" fillId="2" borderId="0" xfId="2" applyFont="1" applyFill="1" applyAlignment="1" applyProtection="1">
      <alignment vertical="center"/>
    </xf>
    <xf numFmtId="171" fontId="32" fillId="2" borderId="0" xfId="2" applyNumberFormat="1" applyFont="1" applyFill="1" applyAlignment="1" applyProtection="1">
      <alignment vertical="center"/>
    </xf>
    <xf numFmtId="172" fontId="4" fillId="2" borderId="0" xfId="2" applyNumberFormat="1" applyFont="1" applyFill="1" applyAlignment="1" applyProtection="1">
      <alignment wrapText="1"/>
    </xf>
    <xf numFmtId="0" fontId="14" fillId="2" borderId="0" xfId="2" applyFont="1" applyFill="1" applyBorder="1" applyAlignment="1" applyProtection="1">
      <alignment vertical="center"/>
    </xf>
    <xf numFmtId="0" fontId="7" fillId="2" borderId="0" xfId="2" applyFont="1" applyFill="1" applyBorder="1" applyAlignment="1" applyProtection="1">
      <alignment vertical="center"/>
    </xf>
    <xf numFmtId="0" fontId="14" fillId="2" borderId="21" xfId="2" applyFont="1" applyFill="1" applyBorder="1" applyAlignment="1" applyProtection="1">
      <alignment vertical="center"/>
    </xf>
    <xf numFmtId="169" fontId="14" fillId="2" borderId="0" xfId="2" applyNumberFormat="1" applyFont="1" applyFill="1" applyAlignment="1" applyProtection="1">
      <alignment vertical="center" wrapText="1"/>
    </xf>
    <xf numFmtId="169" fontId="14" fillId="2" borderId="0" xfId="2" applyNumberFormat="1" applyFont="1" applyFill="1" applyAlignment="1" applyProtection="1">
      <alignment vertical="center"/>
    </xf>
    <xf numFmtId="169" fontId="14" fillId="2" borderId="3" xfId="2" applyNumberFormat="1" applyFont="1" applyFill="1" applyBorder="1" applyProtection="1"/>
    <xf numFmtId="169" fontId="14" fillId="2" borderId="0" xfId="2" applyNumberFormat="1" applyFont="1" applyFill="1" applyProtection="1"/>
    <xf numFmtId="169" fontId="14" fillId="2" borderId="0" xfId="2" applyNumberFormat="1" applyFont="1" applyFill="1" applyBorder="1" applyProtection="1"/>
    <xf numFmtId="169" fontId="4" fillId="2" borderId="0" xfId="2" applyNumberFormat="1" applyFont="1" applyFill="1" applyAlignment="1" applyProtection="1">
      <alignment vertical="center"/>
    </xf>
    <xf numFmtId="169" fontId="4" fillId="2" borderId="0" xfId="2" applyNumberFormat="1" applyFont="1" applyFill="1" applyAlignment="1" applyProtection="1">
      <alignment horizontal="right" vertical="center"/>
    </xf>
    <xf numFmtId="169" fontId="14" fillId="2" borderId="0" xfId="2" applyNumberFormat="1" applyFont="1" applyFill="1" applyAlignment="1" applyProtection="1">
      <alignment wrapText="1"/>
    </xf>
    <xf numFmtId="0" fontId="4" fillId="2" borderId="0" xfId="2" applyFont="1" applyFill="1" applyAlignment="1" applyProtection="1"/>
    <xf numFmtId="169" fontId="4" fillId="2" borderId="0" xfId="2" applyNumberFormat="1" applyFont="1" applyFill="1" applyAlignment="1" applyProtection="1">
      <alignment horizontal="right"/>
    </xf>
    <xf numFmtId="169" fontId="14" fillId="2" borderId="0" xfId="2" applyNumberFormat="1" applyFont="1" applyFill="1" applyBorder="1" applyAlignment="1" applyProtection="1">
      <alignment vertical="center"/>
    </xf>
    <xf numFmtId="0" fontId="14" fillId="0" borderId="0" xfId="2" applyFont="1" applyProtection="1"/>
    <xf numFmtId="168" fontId="14" fillId="12" borderId="3" xfId="2" applyNumberFormat="1" applyFont="1" applyFill="1" applyBorder="1" applyAlignment="1" applyProtection="1">
      <alignment horizontal="center"/>
    </xf>
    <xf numFmtId="172" fontId="14" fillId="2" borderId="0" xfId="2" applyNumberFormat="1" applyFont="1" applyFill="1" applyAlignment="1" applyProtection="1"/>
    <xf numFmtId="175" fontId="14" fillId="2" borderId="3" xfId="2" applyNumberFormat="1" applyFont="1" applyFill="1" applyBorder="1" applyAlignment="1" applyProtection="1">
      <alignment horizontal="center"/>
    </xf>
    <xf numFmtId="0" fontId="35" fillId="2" borderId="0" xfId="2" applyFont="1" applyFill="1" applyAlignment="1" applyProtection="1">
      <alignment horizontal="right"/>
    </xf>
    <xf numFmtId="172" fontId="30" fillId="2" borderId="0" xfId="2" applyNumberFormat="1" applyFill="1" applyAlignment="1" applyProtection="1">
      <alignment wrapText="1"/>
    </xf>
    <xf numFmtId="0" fontId="32" fillId="2" borderId="0" xfId="2" applyFont="1" applyFill="1" applyBorder="1" applyProtection="1"/>
    <xf numFmtId="0" fontId="30" fillId="2" borderId="0" xfId="2" applyFill="1" applyBorder="1" applyProtection="1"/>
    <xf numFmtId="0" fontId="14" fillId="2" borderId="0" xfId="1" applyFont="1" applyFill="1" applyAlignment="1" applyProtection="1">
      <alignment vertical="center"/>
    </xf>
    <xf numFmtId="0" fontId="14" fillId="2" borderId="0" xfId="0" applyFont="1" applyFill="1" applyBorder="1" applyAlignment="1" applyProtection="1">
      <alignment vertical="center"/>
    </xf>
    <xf numFmtId="0" fontId="14" fillId="2" borderId="0" xfId="1" applyFont="1" applyFill="1" applyBorder="1" applyAlignment="1" applyProtection="1">
      <alignment vertical="center"/>
    </xf>
    <xf numFmtId="0" fontId="4" fillId="2" borderId="0" xfId="0" applyFont="1" applyFill="1" applyAlignment="1" applyProtection="1">
      <alignment horizontal="left"/>
    </xf>
    <xf numFmtId="0" fontId="35" fillId="0" borderId="0" xfId="2" applyFont="1" applyFill="1" applyAlignment="1" applyProtection="1">
      <alignment horizontal="right"/>
    </xf>
    <xf numFmtId="0" fontId="30" fillId="0" borderId="0" xfId="2" applyFill="1" applyProtection="1"/>
    <xf numFmtId="172" fontId="30" fillId="0" borderId="0" xfId="2" applyNumberFormat="1" applyFill="1" applyAlignment="1" applyProtection="1">
      <alignment wrapText="1"/>
    </xf>
    <xf numFmtId="0" fontId="30" fillId="0" borderId="0" xfId="2" applyFill="1" applyBorder="1" applyProtection="1"/>
    <xf numFmtId="168" fontId="58" fillId="2" borderId="0" xfId="4" applyNumberFormat="1" applyFont="1" applyFill="1" applyProtection="1"/>
    <xf numFmtId="0" fontId="0" fillId="2" borderId="0" xfId="0" applyFill="1" applyBorder="1" applyAlignment="1" applyProtection="1">
      <alignment vertical="center"/>
    </xf>
    <xf numFmtId="168" fontId="4" fillId="2" borderId="0" xfId="4" applyNumberFormat="1" applyFont="1" applyFill="1" applyAlignment="1" applyProtection="1">
      <alignment horizontal="left" vertical="center" wrapText="1"/>
    </xf>
    <xf numFmtId="0" fontId="14" fillId="2" borderId="0" xfId="0" applyFont="1" applyFill="1" applyBorder="1" applyAlignment="1" applyProtection="1">
      <alignment horizontal="left" vertical="center"/>
    </xf>
    <xf numFmtId="0" fontId="14" fillId="2" borderId="0" xfId="0" applyFont="1" applyFill="1" applyBorder="1" applyAlignment="1" applyProtection="1">
      <alignment horizontal="center" vertical="center"/>
      <protection locked="0"/>
    </xf>
    <xf numFmtId="0" fontId="84" fillId="2" borderId="0" xfId="4" applyFont="1" applyFill="1" applyAlignment="1" applyProtection="1">
      <alignment horizontal="center" vertical="center"/>
    </xf>
    <xf numFmtId="180" fontId="50" fillId="2" borderId="0" xfId="2" applyNumberFormat="1" applyFont="1" applyFill="1" applyAlignment="1" applyProtection="1">
      <alignment horizontal="left"/>
    </xf>
    <xf numFmtId="168" fontId="29" fillId="2" borderId="0" xfId="4" applyNumberFormat="1" applyFont="1" applyFill="1" applyBorder="1" applyAlignment="1" applyProtection="1">
      <alignment vertical="center"/>
    </xf>
    <xf numFmtId="0" fontId="20" fillId="2" borderId="3" xfId="0" applyFont="1" applyFill="1" applyBorder="1" applyAlignment="1">
      <alignment horizontal="center" vertical="center" wrapText="1"/>
    </xf>
    <xf numFmtId="0" fontId="4" fillId="2" borderId="0" xfId="0" applyFont="1" applyFill="1" applyProtection="1">
      <protection locked="0"/>
    </xf>
    <xf numFmtId="0" fontId="103" fillId="2" borderId="0" xfId="1" applyFont="1" applyFill="1" applyAlignment="1" applyProtection="1">
      <alignment horizontal="left" vertical="center"/>
    </xf>
    <xf numFmtId="0" fontId="0" fillId="0" borderId="0" xfId="0" applyFont="1" applyFill="1" applyProtection="1"/>
    <xf numFmtId="49" fontId="4" fillId="0" borderId="0" xfId="0" applyNumberFormat="1" applyFont="1" applyFill="1" applyAlignment="1" applyProtection="1"/>
    <xf numFmtId="0" fontId="0" fillId="0" borderId="0" xfId="0" applyFont="1" applyFill="1" applyAlignment="1" applyProtection="1">
      <alignment wrapText="1"/>
    </xf>
    <xf numFmtId="0" fontId="0" fillId="0" borderId="0" xfId="0" applyFill="1" applyProtection="1"/>
    <xf numFmtId="0" fontId="6" fillId="0" borderId="0" xfId="1" quotePrefix="1" applyFont="1" applyAlignment="1" applyProtection="1">
      <alignment horizontal="center"/>
    </xf>
    <xf numFmtId="172" fontId="14" fillId="2" borderId="3" xfId="2" applyNumberFormat="1" applyFont="1" applyFill="1" applyBorder="1" applyAlignment="1" applyProtection="1">
      <alignment horizontal="center" vertical="center" shrinkToFit="1"/>
    </xf>
    <xf numFmtId="0" fontId="14" fillId="2" borderId="4" xfId="2" applyFont="1" applyFill="1" applyBorder="1" applyAlignment="1" applyProtection="1">
      <alignment vertical="center" wrapText="1"/>
    </xf>
    <xf numFmtId="0" fontId="14" fillId="2" borderId="5" xfId="2" applyFont="1" applyFill="1" applyBorder="1" applyAlignment="1" applyProtection="1">
      <alignment vertical="center" wrapText="1"/>
    </xf>
    <xf numFmtId="172" fontId="14" fillId="2" borderId="5" xfId="2" applyNumberFormat="1" applyFont="1" applyFill="1" applyBorder="1" applyAlignment="1" applyProtection="1">
      <alignment vertical="center" wrapText="1"/>
    </xf>
    <xf numFmtId="0" fontId="14" fillId="0" borderId="4" xfId="0" applyFont="1" applyBorder="1" applyAlignment="1" applyProtection="1">
      <alignment vertical="center"/>
    </xf>
    <xf numFmtId="0" fontId="14" fillId="2" borderId="5" xfId="0" applyFont="1" applyFill="1" applyBorder="1" applyAlignment="1" applyProtection="1">
      <alignment vertical="center"/>
    </xf>
    <xf numFmtId="0" fontId="14" fillId="8" borderId="3" xfId="0" applyFont="1" applyFill="1" applyBorder="1" applyAlignment="1" applyProtection="1">
      <alignment horizontal="center" vertical="center"/>
    </xf>
    <xf numFmtId="0" fontId="14" fillId="12" borderId="3" xfId="1" applyFont="1" applyFill="1" applyBorder="1" applyAlignment="1" applyProtection="1"/>
    <xf numFmtId="168" fontId="66" fillId="2" borderId="0" xfId="4" applyNumberFormat="1" applyFont="1" applyFill="1" applyAlignment="1" applyProtection="1">
      <alignment horizontal="center"/>
    </xf>
    <xf numFmtId="0" fontId="14" fillId="2" borderId="0" xfId="0" applyFont="1" applyFill="1" applyAlignment="1" applyProtection="1">
      <alignment horizontal="centerContinuous"/>
    </xf>
    <xf numFmtId="0" fontId="71" fillId="0" borderId="0" xfId="4" applyFont="1" applyProtection="1"/>
    <xf numFmtId="168" fontId="46" fillId="10" borderId="30" xfId="4" applyNumberFormat="1" applyFont="1" applyFill="1" applyBorder="1" applyAlignment="1" applyProtection="1">
      <alignment horizontal="center" vertical="center"/>
    </xf>
    <xf numFmtId="0" fontId="66" fillId="2" borderId="32" xfId="4" applyFont="1" applyFill="1" applyBorder="1" applyAlignment="1" applyProtection="1">
      <alignment horizontal="left" vertical="center"/>
    </xf>
    <xf numFmtId="175" fontId="46" fillId="11" borderId="32" xfId="0" applyNumberFormat="1" applyFont="1" applyFill="1" applyBorder="1" applyAlignment="1" applyProtection="1">
      <alignment horizontal="center" vertical="center"/>
    </xf>
    <xf numFmtId="168" fontId="29" fillId="5" borderId="28" xfId="4" applyNumberFormat="1" applyFont="1" applyFill="1" applyBorder="1" applyAlignment="1" applyProtection="1">
      <alignment horizontal="center" vertical="center" wrapText="1"/>
    </xf>
    <xf numFmtId="168" fontId="46" fillId="10" borderId="27" xfId="1" applyNumberFormat="1" applyFont="1" applyFill="1" applyBorder="1" applyAlignment="1" applyProtection="1">
      <alignment horizontal="center"/>
    </xf>
    <xf numFmtId="4" fontId="46" fillId="10" borderId="27" xfId="1" applyNumberFormat="1" applyFont="1" applyFill="1" applyBorder="1" applyAlignment="1" applyProtection="1">
      <alignment horizontal="center"/>
    </xf>
    <xf numFmtId="168" fontId="14" fillId="2" borderId="0" xfId="4" applyNumberFormat="1" applyFont="1" applyFill="1" applyAlignment="1" applyProtection="1">
      <alignment vertical="center"/>
    </xf>
    <xf numFmtId="0" fontId="22" fillId="2" borderId="0" xfId="4" applyFont="1" applyFill="1" applyAlignment="1" applyProtection="1">
      <alignment vertical="center"/>
    </xf>
    <xf numFmtId="0" fontId="14" fillId="2" borderId="0" xfId="1" applyFont="1" applyFill="1" applyBorder="1" applyAlignment="1" applyProtection="1">
      <alignment horizontal="left"/>
    </xf>
    <xf numFmtId="4" fontId="46" fillId="11" borderId="0" xfId="1" applyNumberFormat="1" applyFont="1" applyFill="1" applyBorder="1" applyAlignment="1" applyProtection="1">
      <alignment horizontal="center"/>
    </xf>
    <xf numFmtId="4" fontId="29" fillId="11" borderId="0" xfId="1" applyNumberFormat="1" applyFont="1" applyFill="1" applyBorder="1" applyAlignment="1" applyProtection="1">
      <alignment horizontal="center"/>
    </xf>
    <xf numFmtId="0" fontId="30" fillId="0" borderId="0" xfId="4" applyFill="1" applyProtection="1"/>
    <xf numFmtId="168" fontId="32" fillId="0" borderId="0" xfId="4" applyNumberFormat="1" applyFont="1" applyFill="1" applyProtection="1"/>
    <xf numFmtId="168" fontId="14" fillId="0" borderId="0" xfId="4" applyNumberFormat="1" applyFont="1" applyFill="1" applyProtection="1"/>
    <xf numFmtId="168" fontId="66" fillId="0" borderId="0" xfId="4" applyNumberFormat="1" applyFont="1" applyFill="1" applyProtection="1"/>
    <xf numFmtId="0" fontId="14" fillId="0" borderId="0" xfId="4" applyFont="1" applyFill="1" applyProtection="1"/>
    <xf numFmtId="0" fontId="61" fillId="0" borderId="0" xfId="4" applyFont="1" applyFill="1" applyProtection="1"/>
    <xf numFmtId="0" fontId="19" fillId="0" borderId="0" xfId="4" applyFont="1" applyFill="1" applyProtection="1"/>
    <xf numFmtId="0" fontId="62" fillId="0" borderId="0" xfId="4" applyFont="1" applyFill="1" applyProtection="1"/>
    <xf numFmtId="0" fontId="1" fillId="0" borderId="0" xfId="0" applyFont="1" applyFill="1" applyProtection="1"/>
    <xf numFmtId="0" fontId="22" fillId="0" borderId="0" xfId="4" applyFont="1" applyFill="1" applyProtection="1"/>
    <xf numFmtId="0" fontId="22" fillId="0" borderId="0" xfId="4" applyFont="1" applyFill="1" applyAlignment="1" applyProtection="1">
      <alignment vertical="center"/>
    </xf>
    <xf numFmtId="0" fontId="14" fillId="0" borderId="0" xfId="4" applyFont="1" applyFill="1" applyBorder="1" applyProtection="1"/>
    <xf numFmtId="0" fontId="14" fillId="0" borderId="0" xfId="4" applyFont="1" applyFill="1" applyAlignment="1" applyProtection="1">
      <alignment vertical="center"/>
    </xf>
    <xf numFmtId="0" fontId="0" fillId="0" borderId="0" xfId="0" applyFill="1" applyAlignment="1" applyProtection="1">
      <alignment horizontal="right"/>
      <protection locked="0"/>
    </xf>
    <xf numFmtId="0" fontId="0" fillId="0" borderId="0" xfId="0" applyFill="1" applyProtection="1">
      <protection locked="0"/>
    </xf>
    <xf numFmtId="0" fontId="0" fillId="0" borderId="0" xfId="0" applyFill="1" applyBorder="1" applyProtection="1">
      <protection locked="0"/>
    </xf>
    <xf numFmtId="165" fontId="0" fillId="0" borderId="0" xfId="0" applyNumberFormat="1" applyFill="1" applyProtection="1">
      <protection locked="0"/>
    </xf>
    <xf numFmtId="0" fontId="0" fillId="0" borderId="0" xfId="0" applyFill="1" applyAlignment="1" applyProtection="1">
      <alignment horizontal="right"/>
    </xf>
    <xf numFmtId="0" fontId="0" fillId="0" borderId="0" xfId="0" applyFill="1" applyBorder="1" applyProtection="1"/>
    <xf numFmtId="0" fontId="14" fillId="0" borderId="0" xfId="1" applyFont="1" applyFill="1" applyAlignment="1" applyProtection="1">
      <alignment horizontal="right"/>
      <protection locked="0"/>
    </xf>
    <xf numFmtId="0" fontId="30" fillId="0" borderId="0" xfId="1" applyFill="1" applyProtection="1">
      <protection locked="0"/>
    </xf>
    <xf numFmtId="0" fontId="30" fillId="0" borderId="0" xfId="1" applyFill="1" applyAlignment="1" applyProtection="1">
      <alignment horizontal="center"/>
      <protection locked="0"/>
    </xf>
    <xf numFmtId="0" fontId="14" fillId="0" borderId="0" xfId="1" applyFont="1" applyFill="1" applyProtection="1">
      <protection locked="0"/>
    </xf>
    <xf numFmtId="179" fontId="30" fillId="0" borderId="0" xfId="1" applyNumberFormat="1" applyFill="1" applyProtection="1">
      <protection locked="0"/>
    </xf>
    <xf numFmtId="178" fontId="79" fillId="0" borderId="0" xfId="1" applyNumberFormat="1" applyFont="1" applyFill="1" applyProtection="1">
      <protection locked="0"/>
    </xf>
    <xf numFmtId="0" fontId="32" fillId="0" borderId="0" xfId="0" applyFont="1" applyFill="1" applyAlignment="1" applyProtection="1">
      <alignment vertical="center"/>
    </xf>
    <xf numFmtId="168" fontId="30" fillId="0" borderId="0" xfId="1" applyNumberFormat="1" applyFill="1" applyProtection="1"/>
    <xf numFmtId="0" fontId="30" fillId="0" borderId="0" xfId="1" applyFill="1" applyBorder="1" applyProtection="1"/>
    <xf numFmtId="0" fontId="14" fillId="0" borderId="0" xfId="1" applyFont="1" applyFill="1" applyProtection="1"/>
    <xf numFmtId="0" fontId="14" fillId="0" borderId="0" xfId="3" applyFont="1" applyFill="1" applyProtection="1"/>
    <xf numFmtId="0" fontId="32" fillId="0" borderId="0" xfId="3" applyFont="1" applyFill="1" applyProtection="1"/>
    <xf numFmtId="168" fontId="14" fillId="0" borderId="0" xfId="3" applyNumberFormat="1" applyFont="1" applyFill="1" applyProtection="1"/>
    <xf numFmtId="0" fontId="7" fillId="0" borderId="0" xfId="3" applyFont="1" applyFill="1" applyBorder="1" applyProtection="1"/>
    <xf numFmtId="0" fontId="80" fillId="0" borderId="0" xfId="1" applyFont="1" applyFill="1" applyProtection="1"/>
    <xf numFmtId="0" fontId="32" fillId="0" borderId="0" xfId="1" applyFont="1" applyFill="1" applyBorder="1" applyProtection="1"/>
    <xf numFmtId="177" fontId="32" fillId="0" borderId="0" xfId="1" applyNumberFormat="1" applyFont="1" applyFill="1" applyBorder="1" applyProtection="1"/>
    <xf numFmtId="168" fontId="32" fillId="0" borderId="0" xfId="3" applyNumberFormat="1" applyFont="1" applyFill="1" applyProtection="1"/>
    <xf numFmtId="0" fontId="45" fillId="0" borderId="0" xfId="3" applyFont="1" applyFill="1" applyBorder="1" applyProtection="1"/>
    <xf numFmtId="0" fontId="32" fillId="0" borderId="0" xfId="3" applyFont="1" applyFill="1" applyBorder="1" applyProtection="1"/>
    <xf numFmtId="177" fontId="32" fillId="0" borderId="0" xfId="1" applyNumberFormat="1" applyFont="1" applyFill="1" applyBorder="1" applyAlignment="1" applyProtection="1">
      <alignment horizontal="center"/>
    </xf>
    <xf numFmtId="0" fontId="44" fillId="0" borderId="0" xfId="1" applyFont="1" applyFill="1" applyAlignment="1" applyProtection="1">
      <alignment vertical="top" wrapText="1"/>
    </xf>
    <xf numFmtId="0" fontId="30" fillId="0" borderId="0" xfId="3" applyFill="1" applyProtection="1"/>
    <xf numFmtId="0" fontId="75" fillId="0" borderId="0" xfId="3" applyFont="1" applyFill="1" applyProtection="1"/>
    <xf numFmtId="0" fontId="40" fillId="0" borderId="0" xfId="3" applyFont="1" applyFill="1" applyAlignment="1" applyProtection="1">
      <alignment vertical="center"/>
    </xf>
    <xf numFmtId="0" fontId="18" fillId="0" borderId="0" xfId="3" applyFont="1" applyFill="1" applyProtection="1"/>
    <xf numFmtId="0" fontId="75" fillId="0" borderId="0" xfId="2" applyFont="1" applyFill="1" applyProtection="1"/>
    <xf numFmtId="0" fontId="35" fillId="0" borderId="0" xfId="2" applyFont="1" applyFill="1" applyAlignment="1" applyProtection="1">
      <alignment vertical="center"/>
    </xf>
    <xf numFmtId="0" fontId="32" fillId="0" borderId="0" xfId="2" applyFont="1" applyFill="1" applyProtection="1"/>
    <xf numFmtId="0" fontId="32" fillId="0" borderId="0" xfId="2" applyFont="1" applyFill="1" applyAlignment="1" applyProtection="1">
      <alignment vertical="center"/>
    </xf>
    <xf numFmtId="165" fontId="32" fillId="0" borderId="0" xfId="2" applyNumberFormat="1" applyFont="1" applyFill="1" applyAlignment="1" applyProtection="1">
      <alignment vertical="center"/>
    </xf>
    <xf numFmtId="171" fontId="32" fillId="0" borderId="0" xfId="2" applyNumberFormat="1" applyFont="1" applyFill="1" applyAlignment="1" applyProtection="1">
      <alignment vertical="center"/>
    </xf>
    <xf numFmtId="0" fontId="18" fillId="0" borderId="0" xfId="2" applyFont="1" applyFill="1" applyAlignment="1" applyProtection="1">
      <alignment vertical="center"/>
    </xf>
    <xf numFmtId="169" fontId="32" fillId="0" borderId="0" xfId="2" applyNumberFormat="1" applyFont="1" applyFill="1" applyAlignment="1" applyProtection="1">
      <alignment vertical="center"/>
    </xf>
    <xf numFmtId="169" fontId="32" fillId="0" borderId="0" xfId="2" applyNumberFormat="1" applyFont="1" applyFill="1" applyProtection="1"/>
    <xf numFmtId="167" fontId="14" fillId="8" borderId="3" xfId="3" applyNumberFormat="1" applyFont="1" applyFill="1" applyBorder="1" applyAlignment="1" applyProtection="1">
      <alignment horizontal="center"/>
    </xf>
    <xf numFmtId="168" fontId="14" fillId="8" borderId="3" xfId="3" applyNumberFormat="1" applyFont="1" applyFill="1" applyBorder="1" applyAlignment="1" applyProtection="1">
      <alignment horizontal="center"/>
    </xf>
    <xf numFmtId="169" fontId="14" fillId="8" borderId="3" xfId="3" applyNumberFormat="1" applyFont="1" applyFill="1" applyBorder="1" applyAlignment="1" applyProtection="1">
      <alignment horizontal="center"/>
    </xf>
    <xf numFmtId="166" fontId="14" fillId="0" borderId="3" xfId="3" applyNumberFormat="1" applyFont="1" applyFill="1" applyBorder="1" applyAlignment="1" applyProtection="1">
      <alignment horizontal="center"/>
    </xf>
    <xf numFmtId="171" fontId="14" fillId="8" borderId="3" xfId="3" applyNumberFormat="1" applyFont="1" applyFill="1" applyBorder="1" applyAlignment="1" applyProtection="1">
      <alignment horizontal="center"/>
    </xf>
    <xf numFmtId="167" fontId="14" fillId="7" borderId="3" xfId="3" applyNumberFormat="1" applyFont="1" applyFill="1" applyBorder="1" applyAlignment="1" applyProtection="1">
      <alignment horizontal="center"/>
    </xf>
    <xf numFmtId="0" fontId="14" fillId="0" borderId="0" xfId="3" applyFont="1" applyAlignment="1" applyProtection="1">
      <alignment horizontal="center"/>
    </xf>
    <xf numFmtId="180" fontId="14" fillId="7" borderId="3" xfId="3" applyNumberFormat="1" applyFont="1" applyFill="1" applyBorder="1" applyAlignment="1" applyProtection="1">
      <alignment horizontal="center"/>
    </xf>
    <xf numFmtId="181" fontId="14" fillId="2" borderId="3" xfId="3" applyNumberFormat="1" applyFont="1" applyFill="1" applyBorder="1" applyAlignment="1" applyProtection="1">
      <alignment horizontal="center"/>
    </xf>
    <xf numFmtId="0" fontId="44" fillId="2" borderId="6" xfId="1" applyFont="1" applyFill="1" applyBorder="1" applyAlignment="1" applyProtection="1">
      <alignment horizontal="center" vertical="center"/>
    </xf>
    <xf numFmtId="0" fontId="14" fillId="2" borderId="3" xfId="1" applyFont="1" applyFill="1" applyBorder="1" applyAlignment="1" applyProtection="1">
      <alignment horizontal="center"/>
    </xf>
    <xf numFmtId="0" fontId="14" fillId="2" borderId="4" xfId="1" applyFont="1" applyFill="1" applyBorder="1" applyAlignment="1" applyProtection="1">
      <alignment horizontal="center" vertical="center"/>
    </xf>
    <xf numFmtId="0" fontId="14" fillId="2" borderId="6" xfId="1" applyFont="1" applyFill="1" applyBorder="1" applyAlignment="1" applyProtection="1">
      <alignment horizontal="center"/>
    </xf>
    <xf numFmtId="0" fontId="14" fillId="2" borderId="6" xfId="1" applyFont="1" applyFill="1" applyBorder="1" applyAlignment="1" applyProtection="1">
      <alignment horizontal="left"/>
    </xf>
    <xf numFmtId="0" fontId="14" fillId="2" borderId="6" xfId="1" applyFont="1" applyFill="1" applyBorder="1" applyAlignment="1" applyProtection="1">
      <alignment horizontal="left" vertical="center"/>
    </xf>
    <xf numFmtId="0" fontId="44" fillId="2" borderId="6" xfId="1" applyFont="1" applyFill="1" applyBorder="1" applyAlignment="1" applyProtection="1">
      <alignment horizontal="left" vertical="center"/>
    </xf>
    <xf numFmtId="0" fontId="14" fillId="2" borderId="6" xfId="0" applyFont="1" applyFill="1" applyBorder="1" applyAlignment="1" applyProtection="1">
      <alignment horizontal="left" vertical="center"/>
    </xf>
    <xf numFmtId="0" fontId="44" fillId="2" borderId="6" xfId="1" applyFont="1" applyFill="1" applyBorder="1" applyAlignment="1" applyProtection="1">
      <alignment horizontal="left" vertical="center"/>
      <protection locked="0"/>
    </xf>
    <xf numFmtId="0" fontId="14" fillId="2" borderId="6" xfId="3" applyFont="1" applyFill="1" applyBorder="1" applyAlignment="1" applyProtection="1">
      <alignment horizontal="left"/>
    </xf>
    <xf numFmtId="0" fontId="77" fillId="2" borderId="0" xfId="4" applyFont="1" applyFill="1" applyBorder="1" applyAlignment="1" applyProtection="1">
      <alignment horizontal="centerContinuous" vertical="center"/>
    </xf>
    <xf numFmtId="168" fontId="64" fillId="2" borderId="0" xfId="4" applyNumberFormat="1" applyFont="1" applyFill="1" applyBorder="1" applyAlignment="1" applyProtection="1">
      <alignment horizontal="centerContinuous" vertical="center"/>
    </xf>
    <xf numFmtId="0" fontId="32" fillId="2" borderId="8" xfId="3" applyFont="1" applyFill="1" applyBorder="1" applyProtection="1"/>
    <xf numFmtId="171" fontId="14" fillId="0" borderId="4" xfId="2" applyNumberFormat="1" applyFont="1" applyBorder="1" applyAlignment="1" applyProtection="1">
      <alignment horizontal="left" vertical="center" wrapText="1" shrinkToFit="1"/>
    </xf>
    <xf numFmtId="171" fontId="14" fillId="2" borderId="6" xfId="2" applyNumberFormat="1" applyFont="1" applyFill="1" applyBorder="1" applyAlignment="1" applyProtection="1">
      <alignment horizontal="left" vertical="center" wrapText="1"/>
    </xf>
    <xf numFmtId="40" fontId="14" fillId="8" borderId="3" xfId="2" applyNumberFormat="1" applyFont="1" applyFill="1" applyBorder="1" applyAlignment="1" applyProtection="1">
      <alignment horizontal="center" vertical="center" wrapText="1"/>
    </xf>
    <xf numFmtId="165" fontId="14" fillId="8" borderId="3" xfId="2" applyNumberFormat="1" applyFont="1" applyFill="1" applyBorder="1" applyAlignment="1" applyProtection="1">
      <alignment horizontal="center" vertical="center" wrapText="1"/>
    </xf>
    <xf numFmtId="172" fontId="14" fillId="8" borderId="3" xfId="2" applyNumberFormat="1" applyFont="1" applyFill="1" applyBorder="1" applyAlignment="1" applyProtection="1">
      <alignment horizontal="center" vertical="center" wrapText="1"/>
    </xf>
    <xf numFmtId="0" fontId="14" fillId="2" borderId="15" xfId="2" applyFont="1" applyFill="1" applyBorder="1" applyAlignment="1" applyProtection="1">
      <alignment vertical="center"/>
    </xf>
    <xf numFmtId="172" fontId="22" fillId="2" borderId="15" xfId="2" applyNumberFormat="1" applyFont="1" applyFill="1" applyBorder="1" applyAlignment="1" applyProtection="1">
      <alignment vertical="center" wrapText="1"/>
    </xf>
    <xf numFmtId="172" fontId="14" fillId="5" borderId="3" xfId="2" applyNumberFormat="1" applyFont="1" applyFill="1" applyBorder="1" applyAlignment="1" applyProtection="1">
      <alignment horizontal="center" vertical="center" wrapText="1"/>
    </xf>
    <xf numFmtId="0" fontId="14" fillId="0" borderId="4" xfId="2" applyFont="1" applyFill="1" applyBorder="1" applyAlignment="1" applyProtection="1">
      <alignment horizontal="right"/>
    </xf>
    <xf numFmtId="172" fontId="14" fillId="2" borderId="6" xfId="2" applyNumberFormat="1" applyFont="1" applyFill="1" applyBorder="1" applyAlignment="1" applyProtection="1">
      <alignment vertical="center" wrapText="1"/>
    </xf>
    <xf numFmtId="0" fontId="14" fillId="2" borderId="6" xfId="2" applyFont="1" applyFill="1" applyBorder="1" applyAlignment="1" applyProtection="1">
      <alignment vertical="center" wrapText="1"/>
    </xf>
    <xf numFmtId="0" fontId="14" fillId="2" borderId="6" xfId="2" applyFont="1" applyFill="1" applyBorder="1" applyAlignment="1" applyProtection="1">
      <alignment horizontal="left" vertical="center" wrapText="1"/>
    </xf>
    <xf numFmtId="0" fontId="14" fillId="0" borderId="4" xfId="2" applyFont="1" applyFill="1" applyBorder="1" applyAlignment="1" applyProtection="1">
      <alignment horizontal="right" vertical="center"/>
    </xf>
    <xf numFmtId="169" fontId="14" fillId="0" borderId="6" xfId="2" applyNumberFormat="1" applyFont="1" applyFill="1" applyBorder="1" applyAlignment="1" applyProtection="1">
      <alignment vertical="top"/>
    </xf>
    <xf numFmtId="169" fontId="14" fillId="2" borderId="10" xfId="2" applyNumberFormat="1" applyFont="1" applyFill="1" applyBorder="1" applyAlignment="1" applyProtection="1">
      <alignment horizontal="center" vertical="center"/>
    </xf>
    <xf numFmtId="169" fontId="14" fillId="2" borderId="3" xfId="2" applyNumberFormat="1" applyFont="1" applyFill="1" applyBorder="1" applyAlignment="1" applyProtection="1">
      <alignment horizontal="center"/>
    </xf>
    <xf numFmtId="169" fontId="14" fillId="2" borderId="3" xfId="2" applyNumberFormat="1" applyFont="1" applyFill="1" applyBorder="1" applyAlignment="1" applyProtection="1">
      <alignment horizontal="center" vertical="center"/>
    </xf>
    <xf numFmtId="169" fontId="14" fillId="2" borderId="0" xfId="2" applyNumberFormat="1" applyFont="1" applyFill="1" applyBorder="1" applyAlignment="1" applyProtection="1">
      <alignment horizontal="center"/>
    </xf>
    <xf numFmtId="0" fontId="41" fillId="2" borderId="0" xfId="1" applyFont="1" applyFill="1" applyAlignment="1" applyProtection="1">
      <alignment horizontal="centerContinuous" vertical="center"/>
    </xf>
    <xf numFmtId="0" fontId="41" fillId="0" borderId="0" xfId="1" applyFont="1" applyAlignment="1" applyProtection="1">
      <alignment horizontal="centerContinuous" vertical="center"/>
    </xf>
    <xf numFmtId="0" fontId="41" fillId="2" borderId="0" xfId="1" applyFont="1" applyFill="1" applyAlignment="1" applyProtection="1">
      <alignment horizontal="right"/>
    </xf>
    <xf numFmtId="0" fontId="41" fillId="2" borderId="0" xfId="1" applyFont="1" applyFill="1" applyProtection="1"/>
    <xf numFmtId="0" fontId="26" fillId="2" borderId="0" xfId="4" applyFont="1" applyFill="1" applyAlignment="1" applyProtection="1">
      <alignment horizontal="right"/>
    </xf>
    <xf numFmtId="0" fontId="14" fillId="2" borderId="0" xfId="4" applyFont="1" applyFill="1" applyAlignment="1" applyProtection="1">
      <alignment horizontal="right"/>
    </xf>
    <xf numFmtId="0" fontId="4" fillId="2" borderId="0" xfId="1" applyFont="1" applyFill="1" applyBorder="1" applyAlignment="1" applyProtection="1">
      <alignment horizontal="right"/>
    </xf>
    <xf numFmtId="0" fontId="60" fillId="2" borderId="5" xfId="1" applyNumberFormat="1" applyFont="1" applyFill="1" applyBorder="1" applyAlignment="1" applyProtection="1">
      <alignment horizontal="center"/>
    </xf>
    <xf numFmtId="0" fontId="60" fillId="2" borderId="5" xfId="0" applyNumberFormat="1" applyFont="1" applyFill="1" applyBorder="1" applyAlignment="1" applyProtection="1">
      <alignment horizontal="center"/>
    </xf>
    <xf numFmtId="0" fontId="76" fillId="2" borderId="0" xfId="1" applyFont="1" applyFill="1" applyBorder="1" applyProtection="1"/>
    <xf numFmtId="0" fontId="4" fillId="2" borderId="0" xfId="0" applyFont="1" applyFill="1" applyBorder="1" applyAlignment="1" applyProtection="1">
      <alignment horizontal="centerContinuous" vertical="center"/>
    </xf>
    <xf numFmtId="168" fontId="19" fillId="2" borderId="0" xfId="4" applyNumberFormat="1" applyFont="1" applyFill="1" applyBorder="1" applyAlignment="1" applyProtection="1">
      <alignment horizontal="centerContinuous" vertical="center"/>
    </xf>
    <xf numFmtId="168" fontId="4" fillId="2" borderId="3" xfId="4" applyNumberFormat="1" applyFont="1" applyFill="1" applyBorder="1" applyAlignment="1" applyProtection="1">
      <alignment horizontal="centerContinuous"/>
    </xf>
    <xf numFmtId="167" fontId="4" fillId="5" borderId="14" xfId="4" applyNumberFormat="1" applyFont="1" applyFill="1" applyBorder="1" applyAlignment="1" applyProtection="1">
      <alignment horizontal="centerContinuous"/>
    </xf>
    <xf numFmtId="168" fontId="14" fillId="8" borderId="3" xfId="1" applyNumberFormat="1" applyFont="1" applyFill="1" applyBorder="1" applyAlignment="1" applyProtection="1">
      <alignment horizontal="center"/>
    </xf>
    <xf numFmtId="0" fontId="40" fillId="2" borderId="0" xfId="1" applyFont="1" applyFill="1" applyAlignment="1" applyProtection="1">
      <alignment horizontal="left" vertical="center" indent="1"/>
    </xf>
    <xf numFmtId="168" fontId="14" fillId="5" borderId="3" xfId="1" applyNumberFormat="1" applyFont="1" applyFill="1" applyBorder="1" applyAlignment="1" applyProtection="1">
      <alignment horizontal="center"/>
    </xf>
    <xf numFmtId="174" fontId="64" fillId="7" borderId="3" xfId="1" applyNumberFormat="1" applyFont="1" applyFill="1" applyBorder="1" applyAlignment="1" applyProtection="1">
      <alignment horizontal="center"/>
    </xf>
    <xf numFmtId="174" fontId="64" fillId="12" borderId="3" xfId="1" applyNumberFormat="1" applyFont="1" applyFill="1" applyBorder="1" applyAlignment="1" applyProtection="1">
      <alignment horizontal="center"/>
    </xf>
    <xf numFmtId="0" fontId="45" fillId="2" borderId="0" xfId="1" applyFont="1" applyFill="1" applyBorder="1" applyAlignment="1" applyProtection="1">
      <alignment horizontal="center"/>
    </xf>
    <xf numFmtId="174" fontId="64" fillId="2" borderId="0" xfId="1" applyNumberFormat="1" applyFont="1" applyFill="1" applyBorder="1" applyProtection="1"/>
    <xf numFmtId="0" fontId="4" fillId="2" borderId="15" xfId="1" applyFont="1" applyFill="1" applyBorder="1" applyProtection="1"/>
    <xf numFmtId="0" fontId="14" fillId="2" borderId="15" xfId="1" applyFont="1" applyFill="1" applyBorder="1" applyProtection="1"/>
    <xf numFmtId="171" fontId="14" fillId="8" borderId="3" xfId="1" applyNumberFormat="1" applyFont="1" applyFill="1" applyBorder="1" applyAlignment="1" applyProtection="1">
      <alignment horizontal="center"/>
    </xf>
    <xf numFmtId="0" fontId="4" fillId="0" borderId="0" xfId="1" applyFont="1" applyProtection="1"/>
    <xf numFmtId="0" fontId="14" fillId="2" borderId="6" xfId="1" applyFont="1" applyFill="1" applyBorder="1" applyAlignment="1" applyProtection="1">
      <alignment vertical="top"/>
    </xf>
    <xf numFmtId="168" fontId="14" fillId="8" borderId="4" xfId="1" applyNumberFormat="1" applyFont="1" applyFill="1" applyBorder="1" applyAlignment="1" applyProtection="1">
      <alignment horizontal="center"/>
    </xf>
    <xf numFmtId="0" fontId="14" fillId="2" borderId="7" xfId="1" applyFont="1" applyFill="1" applyBorder="1" applyAlignment="1" applyProtection="1">
      <alignment horizontal="center"/>
    </xf>
    <xf numFmtId="168" fontId="14" fillId="2" borderId="0" xfId="1" applyNumberFormat="1" applyFont="1" applyFill="1" applyAlignment="1" applyProtection="1">
      <alignment horizontal="right"/>
    </xf>
    <xf numFmtId="168" fontId="14" fillId="2" borderId="0" xfId="1" applyNumberFormat="1" applyFont="1" applyFill="1" applyBorder="1" applyAlignment="1" applyProtection="1">
      <alignment horizontal="center"/>
    </xf>
    <xf numFmtId="168" fontId="14" fillId="2" borderId="0" xfId="1" applyNumberFormat="1" applyFont="1" applyFill="1" applyBorder="1" applyAlignment="1" applyProtection="1">
      <alignment vertical="center"/>
    </xf>
    <xf numFmtId="173" fontId="14" fillId="8" borderId="3" xfId="1" applyNumberFormat="1" applyFont="1" applyFill="1" applyBorder="1" applyAlignment="1" applyProtection="1">
      <alignment horizontal="center"/>
    </xf>
    <xf numFmtId="0" fontId="14" fillId="2" borderId="8" xfId="1" applyFont="1" applyFill="1" applyBorder="1" applyProtection="1"/>
    <xf numFmtId="0" fontId="14" fillId="0" borderId="8" xfId="1" applyFont="1" applyBorder="1" applyProtection="1"/>
    <xf numFmtId="0" fontId="30" fillId="13" borderId="0" xfId="1" applyFill="1" applyBorder="1" applyProtection="1"/>
    <xf numFmtId="0" fontId="45" fillId="13" borderId="0" xfId="1" applyFont="1" applyFill="1" applyBorder="1" applyAlignment="1" applyProtection="1">
      <alignment horizontal="center"/>
    </xf>
    <xf numFmtId="0" fontId="14" fillId="13" borderId="0" xfId="1" applyFont="1" applyFill="1" applyBorder="1" applyAlignment="1" applyProtection="1">
      <alignment horizontal="center"/>
    </xf>
    <xf numFmtId="174" fontId="64" fillId="9" borderId="0" xfId="1" applyNumberFormat="1" applyFont="1" applyFill="1" applyBorder="1" applyProtection="1"/>
    <xf numFmtId="171" fontId="14" fillId="5" borderId="3" xfId="1" applyNumberFormat="1" applyFont="1" applyFill="1" applyBorder="1" applyAlignment="1" applyProtection="1">
      <alignment horizontal="center"/>
    </xf>
    <xf numFmtId="0" fontId="14" fillId="2" borderId="6" xfId="1" applyFont="1" applyFill="1" applyBorder="1" applyAlignment="1" applyProtection="1">
      <alignment horizontal="left" vertical="top"/>
    </xf>
    <xf numFmtId="0" fontId="59" fillId="2" borderId="0" xfId="1" applyFont="1" applyFill="1" applyBorder="1" applyProtection="1"/>
    <xf numFmtId="174" fontId="59" fillId="2" borderId="0" xfId="1" applyNumberFormat="1" applyFont="1" applyFill="1" applyBorder="1" applyProtection="1"/>
    <xf numFmtId="0" fontId="78" fillId="2" borderId="0" xfId="1" applyFont="1" applyFill="1" applyBorder="1" applyAlignment="1" applyProtection="1">
      <alignment horizontal="center"/>
    </xf>
    <xf numFmtId="171" fontId="59" fillId="2" borderId="0" xfId="1" applyNumberFormat="1" applyFont="1" applyFill="1" applyBorder="1" applyProtection="1"/>
    <xf numFmtId="0" fontId="7" fillId="2" borderId="0" xfId="1" applyFont="1" applyFill="1" applyProtection="1"/>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left"/>
    </xf>
    <xf numFmtId="168" fontId="14" fillId="2" borderId="11" xfId="1" applyNumberFormat="1" applyFont="1" applyFill="1" applyBorder="1" applyAlignment="1" applyProtection="1">
      <alignment horizontal="center"/>
    </xf>
    <xf numFmtId="174" fontId="22" fillId="2" borderId="3" xfId="1" applyNumberFormat="1" applyFont="1" applyFill="1" applyBorder="1" applyAlignment="1" applyProtection="1">
      <alignment horizontal="center"/>
    </xf>
    <xf numFmtId="0" fontId="14" fillId="2" borderId="15" xfId="1" applyFont="1" applyFill="1" applyBorder="1" applyAlignment="1" applyProtection="1">
      <alignment horizontal="center"/>
    </xf>
    <xf numFmtId="0" fontId="14" fillId="2" borderId="14" xfId="1" applyFont="1" applyFill="1" applyBorder="1" applyAlignment="1" applyProtection="1">
      <alignment horizontal="center"/>
    </xf>
    <xf numFmtId="0" fontId="59" fillId="2" borderId="8" xfId="1" applyFont="1" applyFill="1" applyBorder="1" applyProtection="1"/>
    <xf numFmtId="167" fontId="49" fillId="2" borderId="0" xfId="1" applyNumberFormat="1" applyFont="1" applyFill="1" applyBorder="1" applyAlignment="1" applyProtection="1">
      <alignment vertical="center"/>
    </xf>
    <xf numFmtId="0" fontId="14" fillId="0" borderId="15" xfId="1" applyFont="1" applyBorder="1" applyProtection="1"/>
    <xf numFmtId="0" fontId="14" fillId="2" borderId="14" xfId="1" applyFont="1" applyFill="1" applyBorder="1" applyProtection="1"/>
    <xf numFmtId="0" fontId="14" fillId="2" borderId="6" xfId="1" applyFont="1" applyFill="1" applyBorder="1" applyProtection="1"/>
    <xf numFmtId="177" fontId="14" fillId="12" borderId="3" xfId="1" applyNumberFormat="1" applyFont="1" applyFill="1" applyBorder="1" applyAlignment="1" applyProtection="1">
      <alignment horizontal="center"/>
    </xf>
    <xf numFmtId="174" fontId="22" fillId="0" borderId="3" xfId="1" applyNumberFormat="1" applyFont="1" applyBorder="1" applyAlignment="1" applyProtection="1">
      <alignment horizontal="center" vertical="center"/>
    </xf>
    <xf numFmtId="174" fontId="22" fillId="2" borderId="3" xfId="1" applyNumberFormat="1" applyFont="1" applyFill="1" applyBorder="1" applyAlignment="1" applyProtection="1">
      <alignment horizontal="center" vertical="center"/>
    </xf>
    <xf numFmtId="174" fontId="22" fillId="2" borderId="4" xfId="1" applyNumberFormat="1" applyFont="1" applyFill="1" applyBorder="1" applyAlignment="1" applyProtection="1">
      <alignment horizontal="center" vertical="center"/>
    </xf>
    <xf numFmtId="177" fontId="14" fillId="2" borderId="3" xfId="1" applyNumberFormat="1" applyFont="1" applyFill="1" applyBorder="1" applyAlignment="1" applyProtection="1">
      <alignment horizontal="center"/>
    </xf>
    <xf numFmtId="0" fontId="14" fillId="2" borderId="4" xfId="1" applyFont="1" applyFill="1" applyBorder="1" applyAlignment="1" applyProtection="1">
      <alignment horizontal="center"/>
    </xf>
    <xf numFmtId="0" fontId="14" fillId="2" borderId="5" xfId="1" applyFont="1" applyFill="1" applyBorder="1" applyAlignment="1" applyProtection="1">
      <alignment horizontal="center"/>
    </xf>
    <xf numFmtId="175" fontId="14" fillId="2" borderId="5" xfId="1" applyNumberFormat="1" applyFont="1" applyFill="1" applyBorder="1" applyAlignment="1" applyProtection="1">
      <alignment horizontal="center" vertical="center"/>
    </xf>
    <xf numFmtId="175" fontId="14" fillId="2" borderId="0" xfId="1" applyNumberFormat="1" applyFont="1" applyFill="1" applyBorder="1" applyAlignment="1" applyProtection="1">
      <alignment vertical="top"/>
    </xf>
    <xf numFmtId="177" fontId="14" fillId="2" borderId="5" xfId="1" applyNumberFormat="1" applyFont="1" applyFill="1" applyBorder="1" applyAlignment="1" applyProtection="1">
      <alignment horizontal="center" vertical="center"/>
    </xf>
    <xf numFmtId="172" fontId="14" fillId="2" borderId="6" xfId="2" applyNumberFormat="1" applyFont="1" applyFill="1" applyBorder="1" applyAlignment="1" applyProtection="1">
      <alignment vertical="center"/>
    </xf>
    <xf numFmtId="0" fontId="14" fillId="2" borderId="4" xfId="2" applyFont="1" applyFill="1" applyBorder="1" applyAlignment="1" applyProtection="1">
      <alignment horizontal="right" vertical="center"/>
    </xf>
    <xf numFmtId="0" fontId="14" fillId="2" borderId="5" xfId="2" applyFont="1" applyFill="1" applyBorder="1" applyAlignment="1" applyProtection="1">
      <alignment vertical="center"/>
    </xf>
    <xf numFmtId="0" fontId="14" fillId="2" borderId="0" xfId="0" applyFont="1" applyFill="1" applyAlignment="1" applyProtection="1">
      <alignment horizontal="centerContinuous" vertical="center"/>
      <protection locked="0"/>
    </xf>
    <xf numFmtId="0" fontId="14" fillId="3" borderId="4" xfId="1" applyFont="1" applyFill="1" applyBorder="1" applyAlignment="1" applyProtection="1">
      <alignment horizontal="centerContinuous" vertical="center"/>
      <protection locked="0"/>
    </xf>
    <xf numFmtId="0" fontId="14" fillId="3" borderId="5" xfId="1" applyFont="1" applyFill="1" applyBorder="1" applyAlignment="1" applyProtection="1">
      <alignment horizontal="centerContinuous" vertical="center"/>
      <protection locked="0"/>
    </xf>
    <xf numFmtId="0" fontId="30" fillId="2" borderId="0" xfId="1" applyFont="1" applyFill="1" applyBorder="1" applyAlignment="1" applyProtection="1">
      <protection locked="0"/>
    </xf>
    <xf numFmtId="0" fontId="14" fillId="2" borderId="0" xfId="1" applyNumberFormat="1" applyFont="1" applyFill="1" applyBorder="1" applyAlignment="1" applyProtection="1">
      <alignment horizontal="center"/>
      <protection locked="0"/>
    </xf>
    <xf numFmtId="0" fontId="4" fillId="2" borderId="0" xfId="0" applyFont="1" applyFill="1" applyBorder="1" applyAlignment="1" applyProtection="1">
      <protection locked="0"/>
    </xf>
    <xf numFmtId="0" fontId="0" fillId="2" borderId="0" xfId="0" applyNumberFormat="1" applyFill="1" applyBorder="1" applyAlignment="1" applyProtection="1">
      <protection locked="0"/>
    </xf>
    <xf numFmtId="0" fontId="30" fillId="0" borderId="7" xfId="1" applyBorder="1" applyProtection="1">
      <protection locked="0"/>
    </xf>
    <xf numFmtId="0" fontId="29" fillId="2" borderId="0" xfId="0" applyNumberFormat="1" applyFont="1" applyFill="1" applyBorder="1" applyAlignment="1" applyProtection="1">
      <alignment horizontal="center"/>
      <protection locked="0"/>
    </xf>
    <xf numFmtId="0" fontId="0" fillId="0" borderId="7" xfId="0" applyBorder="1" applyProtection="1">
      <protection locked="0"/>
    </xf>
    <xf numFmtId="0" fontId="0" fillId="0" borderId="2" xfId="0" applyFill="1" applyBorder="1" applyProtection="1">
      <protection locked="0"/>
    </xf>
    <xf numFmtId="0" fontId="0" fillId="2" borderId="8" xfId="0" applyFill="1" applyBorder="1" applyAlignment="1" applyProtection="1">
      <alignment vertical="center"/>
    </xf>
    <xf numFmtId="0" fontId="90" fillId="2" borderId="0" xfId="1" applyFont="1" applyFill="1" applyProtection="1">
      <protection locked="0"/>
    </xf>
    <xf numFmtId="0" fontId="30" fillId="14" borderId="0" xfId="1" applyFill="1" applyProtection="1">
      <protection locked="0"/>
    </xf>
    <xf numFmtId="0" fontId="14" fillId="2" borderId="4" xfId="2" applyFont="1" applyFill="1" applyBorder="1" applyAlignment="1" applyProtection="1">
      <alignment vertical="center" wrapText="1"/>
      <protection locked="0"/>
    </xf>
    <xf numFmtId="0" fontId="14" fillId="2" borderId="5" xfId="2" applyFont="1" applyFill="1" applyBorder="1" applyAlignment="1" applyProtection="1">
      <alignment vertical="center" wrapText="1"/>
      <protection locked="0"/>
    </xf>
    <xf numFmtId="172" fontId="14" fillId="2" borderId="5" xfId="2" applyNumberFormat="1" applyFont="1" applyFill="1" applyBorder="1" applyAlignment="1" applyProtection="1">
      <alignment vertical="center" wrapText="1"/>
      <protection locked="0"/>
    </xf>
    <xf numFmtId="0" fontId="14" fillId="2" borderId="3" xfId="2" applyFont="1" applyFill="1" applyBorder="1" applyAlignment="1" applyProtection="1">
      <alignment horizontal="center" vertical="center" wrapText="1"/>
      <protection locked="0"/>
    </xf>
    <xf numFmtId="0" fontId="14" fillId="2" borderId="3" xfId="2" applyFont="1" applyFill="1" applyBorder="1" applyAlignment="1" applyProtection="1">
      <alignment horizontal="center" vertical="center"/>
      <protection locked="0"/>
    </xf>
    <xf numFmtId="172" fontId="14" fillId="2" borderId="3" xfId="2" applyNumberFormat="1" applyFont="1" applyFill="1" applyBorder="1" applyAlignment="1" applyProtection="1">
      <alignment horizontal="center" vertical="center" shrinkToFit="1"/>
      <protection locked="0"/>
    </xf>
    <xf numFmtId="0" fontId="14" fillId="2" borderId="0" xfId="0" applyFont="1" applyFill="1" applyAlignment="1" applyProtection="1">
      <alignment horizontal="right"/>
      <protection locked="0"/>
    </xf>
    <xf numFmtId="0" fontId="14" fillId="2" borderId="0" xfId="3" applyFont="1" applyFill="1" applyBorder="1" applyProtection="1">
      <protection locked="0"/>
    </xf>
    <xf numFmtId="171" fontId="14" fillId="2" borderId="0" xfId="3" applyNumberFormat="1" applyFont="1" applyFill="1" applyBorder="1" applyProtection="1">
      <protection locked="0"/>
    </xf>
    <xf numFmtId="0" fontId="4" fillId="2" borderId="0" xfId="0" applyFont="1" applyFill="1" applyAlignment="1" applyProtection="1">
      <alignment horizontal="right"/>
      <protection locked="0"/>
    </xf>
    <xf numFmtId="0" fontId="4" fillId="2" borderId="0" xfId="0" applyFont="1" applyFill="1" applyAlignment="1" applyProtection="1">
      <alignment horizontal="right" vertical="center"/>
      <protection locked="0"/>
    </xf>
    <xf numFmtId="0" fontId="4" fillId="2" borderId="0" xfId="2" applyFont="1" applyFill="1" applyAlignment="1" applyProtection="1">
      <alignment vertical="center"/>
      <protection locked="0"/>
    </xf>
    <xf numFmtId="173" fontId="14" fillId="2" borderId="0" xfId="1" applyNumberFormat="1" applyFont="1" applyFill="1" applyBorder="1" applyProtection="1">
      <protection locked="0"/>
    </xf>
    <xf numFmtId="171" fontId="20" fillId="6" borderId="3" xfId="1" applyNumberFormat="1" applyFont="1" applyFill="1" applyBorder="1" applyAlignment="1" applyProtection="1">
      <alignment horizontal="center" vertical="center" wrapText="1"/>
      <protection locked="0"/>
    </xf>
    <xf numFmtId="0" fontId="38" fillId="2" borderId="0" xfId="1" applyFont="1" applyFill="1" applyBorder="1" applyAlignment="1" applyProtection="1">
      <protection locked="0"/>
    </xf>
    <xf numFmtId="0" fontId="4" fillId="2" borderId="0" xfId="1" applyNumberFormat="1" applyFont="1" applyFill="1" applyAlignment="1" applyProtection="1">
      <alignment horizontal="right"/>
      <protection locked="0"/>
    </xf>
    <xf numFmtId="0" fontId="14" fillId="2" borderId="0" xfId="1" applyFont="1" applyFill="1" applyAlignment="1" applyProtection="1">
      <alignment horizontal="center" vertical="center"/>
      <protection locked="0"/>
    </xf>
    <xf numFmtId="0" fontId="50" fillId="2" borderId="0" xfId="1" applyFont="1" applyFill="1" applyProtection="1"/>
    <xf numFmtId="0" fontId="117" fillId="2" borderId="0" xfId="4" applyFont="1" applyFill="1" applyProtection="1"/>
    <xf numFmtId="168" fontId="74" fillId="2" borderId="0" xfId="4" applyNumberFormat="1" applyFont="1" applyFill="1" applyProtection="1"/>
    <xf numFmtId="0" fontId="74" fillId="2" borderId="0" xfId="4" applyFont="1" applyFill="1" applyBorder="1" applyProtection="1"/>
    <xf numFmtId="0" fontId="4" fillId="2" borderId="0" xfId="4" applyFont="1" applyFill="1" applyProtection="1"/>
    <xf numFmtId="173" fontId="14" fillId="10" borderId="30" xfId="0" applyNumberFormat="1" applyFont="1" applyFill="1" applyBorder="1" applyAlignment="1" applyProtection="1">
      <alignment horizontal="center" vertical="center"/>
    </xf>
    <xf numFmtId="0" fontId="14" fillId="2" borderId="0" xfId="4" applyFont="1" applyFill="1" applyAlignment="1" applyProtection="1">
      <alignment horizontal="centerContinuous"/>
    </xf>
    <xf numFmtId="166" fontId="14" fillId="10" borderId="34" xfId="4" applyNumberFormat="1" applyFont="1" applyFill="1" applyBorder="1" applyAlignment="1" applyProtection="1">
      <alignment horizontal="center"/>
    </xf>
    <xf numFmtId="0" fontId="30" fillId="2" borderId="0" xfId="4" applyFont="1" applyFill="1" applyAlignment="1" applyProtection="1">
      <alignment vertical="center"/>
    </xf>
    <xf numFmtId="0" fontId="14" fillId="2" borderId="0" xfId="4" applyFont="1" applyFill="1" applyAlignment="1" applyProtection="1">
      <alignment vertical="center"/>
    </xf>
    <xf numFmtId="0" fontId="30" fillId="0" borderId="0" xfId="4" applyFont="1" applyFill="1" applyProtection="1"/>
    <xf numFmtId="174" fontId="14" fillId="10" borderId="34" xfId="0" applyNumberFormat="1" applyFont="1" applyFill="1" applyBorder="1" applyAlignment="1" applyProtection="1">
      <alignment horizontal="center" vertical="center"/>
    </xf>
    <xf numFmtId="168" fontId="14" fillId="2" borderId="0" xfId="4" applyNumberFormat="1" applyFont="1" applyFill="1" applyAlignment="1" applyProtection="1">
      <alignment horizontal="centerContinuous"/>
    </xf>
    <xf numFmtId="168" fontId="14" fillId="10" borderId="28" xfId="0" applyNumberFormat="1" applyFont="1" applyFill="1" applyBorder="1" applyAlignment="1" applyProtection="1">
      <alignment horizontal="center" vertical="center"/>
    </xf>
    <xf numFmtId="175" fontId="14" fillId="10" borderId="27" xfId="0" applyNumberFormat="1" applyFont="1" applyFill="1" applyBorder="1" applyAlignment="1" applyProtection="1">
      <alignment horizontal="center" vertical="center"/>
    </xf>
    <xf numFmtId="175" fontId="14" fillId="10" borderId="29" xfId="0" applyNumberFormat="1" applyFont="1" applyFill="1" applyBorder="1" applyAlignment="1" applyProtection="1">
      <alignment horizontal="center" vertical="center"/>
    </xf>
    <xf numFmtId="171" fontId="14" fillId="4" borderId="3" xfId="1" applyNumberFormat="1" applyFont="1" applyFill="1" applyBorder="1" applyAlignment="1" applyProtection="1">
      <alignment horizontal="center" vertical="center"/>
      <protection locked="0" hidden="1"/>
    </xf>
    <xf numFmtId="0" fontId="4" fillId="2" borderId="0" xfId="0" applyFont="1" applyFill="1" applyBorder="1" applyAlignment="1" applyProtection="1">
      <alignment horizontal="left" vertical="center"/>
    </xf>
    <xf numFmtId="165" fontId="14" fillId="2" borderId="0" xfId="2" applyNumberFormat="1" applyFont="1" applyFill="1" applyBorder="1" applyAlignment="1" applyProtection="1">
      <alignment vertical="center"/>
    </xf>
    <xf numFmtId="171" fontId="14" fillId="2" borderId="0" xfId="2" applyNumberFormat="1" applyFont="1" applyFill="1" applyBorder="1" applyAlignment="1" applyProtection="1">
      <alignment vertical="center"/>
    </xf>
    <xf numFmtId="0" fontId="4" fillId="2" borderId="0" xfId="2" applyFont="1" applyFill="1" applyBorder="1" applyAlignment="1" applyProtection="1">
      <alignment vertical="center"/>
    </xf>
    <xf numFmtId="174" fontId="22" fillId="2" borderId="7" xfId="1" applyNumberFormat="1" applyFont="1" applyFill="1" applyBorder="1" applyAlignment="1" applyProtection="1">
      <alignment horizontal="center" vertical="center"/>
    </xf>
    <xf numFmtId="0" fontId="72" fillId="2" borderId="0" xfId="1" applyFont="1" applyFill="1" applyBorder="1" applyProtection="1"/>
    <xf numFmtId="177" fontId="14" fillId="2" borderId="7" xfId="1" applyNumberFormat="1" applyFont="1" applyFill="1" applyBorder="1" applyAlignment="1" applyProtection="1">
      <alignment horizontal="center"/>
    </xf>
    <xf numFmtId="177" fontId="14" fillId="13" borderId="7" xfId="1" applyNumberFormat="1" applyFont="1" applyFill="1" applyBorder="1" applyAlignment="1" applyProtection="1">
      <alignment horizontal="center"/>
    </xf>
    <xf numFmtId="0" fontId="14" fillId="2" borderId="0" xfId="1" applyFont="1" applyFill="1" applyBorder="1" applyProtection="1"/>
    <xf numFmtId="0" fontId="30" fillId="2" borderId="0" xfId="1" applyFill="1" applyBorder="1" applyProtection="1"/>
    <xf numFmtId="0" fontId="4" fillId="2" borderId="0" xfId="1" applyFont="1" applyFill="1" applyBorder="1" applyProtection="1"/>
    <xf numFmtId="0" fontId="14" fillId="2" borderId="0" xfId="1" applyFont="1" applyFill="1" applyBorder="1" applyAlignment="1" applyProtection="1">
      <alignment horizontal="center"/>
    </xf>
    <xf numFmtId="166" fontId="14" fillId="2" borderId="0" xfId="1" applyNumberFormat="1" applyFont="1" applyFill="1" applyBorder="1" applyProtection="1"/>
    <xf numFmtId="168" fontId="14" fillId="2" borderId="0" xfId="1" applyNumberFormat="1" applyFont="1" applyFill="1" applyBorder="1" applyProtection="1"/>
    <xf numFmtId="169" fontId="14" fillId="5" borderId="3" xfId="1" applyNumberFormat="1" applyFont="1" applyFill="1" applyBorder="1" applyAlignment="1" applyProtection="1">
      <alignment horizontal="center"/>
    </xf>
    <xf numFmtId="171" fontId="14" fillId="2" borderId="0" xfId="1" applyNumberFormat="1" applyFont="1" applyFill="1" applyBorder="1" applyAlignment="1" applyProtection="1">
      <alignment horizontal="center"/>
    </xf>
    <xf numFmtId="171" fontId="14" fillId="2" borderId="0" xfId="1" applyNumberFormat="1" applyFont="1" applyFill="1" applyBorder="1" applyProtection="1"/>
    <xf numFmtId="0" fontId="14" fillId="2" borderId="0" xfId="0" applyFont="1" applyFill="1" applyBorder="1" applyAlignment="1" applyProtection="1">
      <alignment horizontal="center" vertical="center"/>
    </xf>
    <xf numFmtId="171" fontId="14" fillId="2" borderId="0" xfId="1" applyNumberFormat="1" applyFont="1" applyFill="1" applyBorder="1" applyProtection="1">
      <protection locked="0"/>
    </xf>
    <xf numFmtId="0" fontId="32" fillId="2" borderId="0" xfId="1" applyFont="1" applyFill="1" applyBorder="1" applyProtection="1"/>
    <xf numFmtId="0" fontId="32" fillId="2" borderId="0" xfId="1" applyFont="1" applyFill="1" applyBorder="1" applyProtection="1">
      <protection locked="0"/>
    </xf>
    <xf numFmtId="0" fontId="14" fillId="2" borderId="0" xfId="3" applyFont="1" applyFill="1" applyBorder="1" applyProtection="1"/>
    <xf numFmtId="0" fontId="14" fillId="0" borderId="3" xfId="2" applyFont="1" applyBorder="1" applyAlignment="1" applyProtection="1">
      <alignment horizontal="center" vertical="center" wrapText="1"/>
    </xf>
    <xf numFmtId="0" fontId="14" fillId="2" borderId="3" xfId="2" applyFont="1" applyFill="1" applyBorder="1" applyAlignment="1" applyProtection="1">
      <alignment horizontal="center" vertical="center" wrapText="1"/>
    </xf>
    <xf numFmtId="165" fontId="14" fillId="2" borderId="3" xfId="2" applyNumberFormat="1" applyFont="1" applyFill="1" applyBorder="1" applyAlignment="1" applyProtection="1">
      <alignment vertical="center" wrapText="1"/>
    </xf>
    <xf numFmtId="171" fontId="14" fillId="2" borderId="10" xfId="2" applyNumberFormat="1" applyFont="1" applyFill="1" applyBorder="1" applyAlignment="1" applyProtection="1">
      <alignment vertical="center"/>
    </xf>
    <xf numFmtId="171" fontId="14" fillId="2" borderId="9" xfId="2" applyNumberFormat="1" applyFont="1" applyFill="1" applyBorder="1" applyAlignment="1" applyProtection="1">
      <alignment vertical="center"/>
    </xf>
    <xf numFmtId="171" fontId="14" fillId="2" borderId="11" xfId="2" applyNumberFormat="1" applyFont="1" applyFill="1" applyBorder="1" applyAlignment="1" applyProtection="1">
      <alignment vertical="center"/>
    </xf>
    <xf numFmtId="171" fontId="14" fillId="2" borderId="10" xfId="2" applyNumberFormat="1" applyFont="1" applyFill="1" applyBorder="1" applyAlignment="1" applyProtection="1">
      <alignment vertical="center" wrapText="1"/>
    </xf>
    <xf numFmtId="171" fontId="14" fillId="2" borderId="9" xfId="2" applyNumberFormat="1" applyFont="1" applyFill="1" applyBorder="1" applyAlignment="1" applyProtection="1">
      <alignment vertical="center" wrapText="1"/>
    </xf>
    <xf numFmtId="171" fontId="14" fillId="2" borderId="11" xfId="2" applyNumberFormat="1" applyFont="1" applyFill="1" applyBorder="1" applyAlignment="1" applyProtection="1">
      <alignment vertical="center" wrapText="1"/>
    </xf>
    <xf numFmtId="171" fontId="14" fillId="2" borderId="0" xfId="2" applyNumberFormat="1" applyFont="1" applyFill="1" applyBorder="1" applyAlignment="1" applyProtection="1">
      <alignment vertical="center" wrapText="1"/>
    </xf>
    <xf numFmtId="172" fontId="14" fillId="2" borderId="0" xfId="2" applyNumberFormat="1" applyFont="1" applyFill="1" applyBorder="1" applyAlignment="1" applyProtection="1">
      <alignment vertical="center" wrapText="1"/>
      <protection locked="0"/>
    </xf>
    <xf numFmtId="0" fontId="14" fillId="0" borderId="3" xfId="2" applyFont="1" applyBorder="1" applyAlignment="1" applyProtection="1">
      <alignment horizontal="center" vertical="center"/>
    </xf>
    <xf numFmtId="165" fontId="14" fillId="2" borderId="6" xfId="2" applyNumberFormat="1" applyFont="1" applyFill="1" applyBorder="1" applyAlignment="1" applyProtection="1">
      <alignment vertical="center" wrapText="1"/>
    </xf>
    <xf numFmtId="171" fontId="14" fillId="2" borderId="12" xfId="2" applyNumberFormat="1" applyFont="1" applyFill="1" applyBorder="1" applyAlignment="1" applyProtection="1">
      <alignment vertical="center"/>
    </xf>
    <xf numFmtId="171" fontId="14" fillId="2" borderId="13" xfId="2" applyNumberFormat="1" applyFont="1" applyFill="1" applyBorder="1" applyAlignment="1" applyProtection="1">
      <alignment vertical="center"/>
    </xf>
    <xf numFmtId="171" fontId="14" fillId="2" borderId="14" xfId="2" applyNumberFormat="1" applyFont="1" applyFill="1" applyBorder="1" applyAlignment="1" applyProtection="1">
      <alignment vertical="center"/>
    </xf>
    <xf numFmtId="171" fontId="14" fillId="2" borderId="12" xfId="2" applyNumberFormat="1" applyFont="1" applyFill="1" applyBorder="1" applyAlignment="1" applyProtection="1">
      <alignment vertical="center" wrapText="1"/>
    </xf>
    <xf numFmtId="171" fontId="14" fillId="2" borderId="13" xfId="2" applyNumberFormat="1" applyFont="1" applyFill="1" applyBorder="1" applyAlignment="1" applyProtection="1">
      <alignment vertical="center" wrapText="1"/>
    </xf>
    <xf numFmtId="171" fontId="14" fillId="2" borderId="14" xfId="2" applyNumberFormat="1" applyFont="1" applyFill="1" applyBorder="1" applyAlignment="1" applyProtection="1">
      <alignment vertical="center" wrapText="1"/>
    </xf>
    <xf numFmtId="172" fontId="14" fillId="2" borderId="0" xfId="2" applyNumberFormat="1" applyFont="1" applyFill="1" applyBorder="1" applyAlignment="1" applyProtection="1">
      <alignment vertical="center" wrapText="1"/>
    </xf>
    <xf numFmtId="171" fontId="14" fillId="3" borderId="3" xfId="1" applyNumberFormat="1" applyFont="1" applyFill="1" applyBorder="1" applyAlignment="1" applyProtection="1">
      <alignment horizontal="center" vertical="center"/>
      <protection locked="0"/>
    </xf>
    <xf numFmtId="0" fontId="14" fillId="2" borderId="3" xfId="2" applyFont="1" applyFill="1" applyBorder="1" applyAlignment="1" applyProtection="1">
      <alignment horizontal="center" vertical="center"/>
    </xf>
    <xf numFmtId="0" fontId="14" fillId="2" borderId="0" xfId="0" applyFont="1" applyFill="1" applyBorder="1" applyProtection="1"/>
    <xf numFmtId="0" fontId="14" fillId="2" borderId="0" xfId="1" applyFont="1" applyFill="1" applyBorder="1" applyAlignment="1" applyProtection="1">
      <alignment horizontal="center" vertical="center"/>
    </xf>
    <xf numFmtId="0" fontId="14" fillId="2" borderId="0" xfId="1" applyFont="1" applyFill="1" applyBorder="1" applyAlignment="1" applyProtection="1"/>
    <xf numFmtId="0" fontId="19" fillId="2" borderId="0" xfId="4" applyFont="1" applyFill="1" applyProtection="1"/>
    <xf numFmtId="168" fontId="19" fillId="5" borderId="6" xfId="4" applyNumberFormat="1" applyFont="1" applyFill="1" applyBorder="1" applyAlignment="1" applyProtection="1">
      <alignment horizontal="centerContinuous" vertical="center"/>
    </xf>
    <xf numFmtId="0" fontId="66" fillId="2" borderId="0" xfId="4" applyNumberFormat="1" applyFont="1" applyFill="1" applyBorder="1" applyAlignment="1" applyProtection="1">
      <alignment horizontal="center"/>
    </xf>
    <xf numFmtId="0" fontId="66" fillId="2" borderId="0" xfId="4" applyNumberFormat="1" applyFont="1" applyFill="1" applyBorder="1" applyAlignment="1" applyProtection="1"/>
    <xf numFmtId="0" fontId="4" fillId="5" borderId="4" xfId="0" applyFont="1" applyFill="1" applyBorder="1" applyAlignment="1" applyProtection="1">
      <alignment horizontal="centerContinuous" vertical="center"/>
    </xf>
    <xf numFmtId="0" fontId="14" fillId="2" borderId="0" xfId="1" applyFont="1" applyFill="1" applyBorder="1" applyProtection="1">
      <protection locked="0"/>
    </xf>
    <xf numFmtId="0" fontId="14" fillId="2" borderId="3" xfId="1" applyFont="1" applyFill="1" applyBorder="1" applyAlignment="1" applyProtection="1">
      <alignment horizontal="center" vertical="center"/>
      <protection locked="0"/>
    </xf>
    <xf numFmtId="167" fontId="14" fillId="2" borderId="0" xfId="1" applyNumberFormat="1" applyFont="1" applyFill="1" applyBorder="1" applyProtection="1">
      <protection locked="0"/>
    </xf>
    <xf numFmtId="0" fontId="14" fillId="2" borderId="0" xfId="1" applyFont="1" applyFill="1" applyBorder="1" applyAlignment="1" applyProtection="1">
      <alignment horizontal="center"/>
      <protection locked="0"/>
    </xf>
    <xf numFmtId="168" fontId="14" fillId="2" borderId="0" xfId="1" applyNumberFormat="1" applyFont="1" applyFill="1" applyBorder="1" applyProtection="1">
      <protection locked="0"/>
    </xf>
    <xf numFmtId="0" fontId="40" fillId="2" borderId="0" xfId="3" applyFont="1" applyFill="1" applyBorder="1" applyAlignment="1" applyProtection="1">
      <alignment vertical="center"/>
    </xf>
    <xf numFmtId="168" fontId="19" fillId="5" borderId="5" xfId="4" applyNumberFormat="1" applyFont="1" applyFill="1" applyBorder="1" applyAlignment="1" applyProtection="1">
      <alignment horizontal="centerContinuous" vertical="center"/>
    </xf>
    <xf numFmtId="0" fontId="32" fillId="2" borderId="0" xfId="3" applyFont="1" applyFill="1" applyBorder="1" applyProtection="1"/>
    <xf numFmtId="169" fontId="14" fillId="2" borderId="3" xfId="3" applyNumberFormat="1" applyFont="1" applyFill="1" applyBorder="1" applyAlignment="1" applyProtection="1">
      <alignment horizontal="center"/>
    </xf>
    <xf numFmtId="169" fontId="14" fillId="2" borderId="0" xfId="3" applyNumberFormat="1" applyFont="1" applyFill="1" applyBorder="1" applyProtection="1"/>
    <xf numFmtId="0" fontId="14" fillId="2" borderId="0" xfId="2" applyFont="1" applyFill="1" applyBorder="1" applyProtection="1"/>
    <xf numFmtId="0" fontId="14" fillId="2" borderId="0" xfId="2" applyFont="1" applyFill="1" applyBorder="1" applyAlignment="1" applyProtection="1">
      <alignment vertical="center"/>
    </xf>
    <xf numFmtId="0" fontId="14" fillId="2" borderId="0" xfId="0" applyFont="1" applyFill="1" applyBorder="1" applyAlignment="1" applyProtection="1">
      <alignment vertical="center"/>
      <protection locked="0"/>
    </xf>
    <xf numFmtId="0" fontId="14" fillId="2" borderId="0" xfId="0" applyFont="1" applyFill="1" applyBorder="1" applyProtection="1">
      <protection locked="0"/>
    </xf>
    <xf numFmtId="0" fontId="4" fillId="2" borderId="0" xfId="0" applyFont="1" applyFill="1" applyBorder="1" applyAlignment="1" applyProtection="1">
      <alignment horizontal="left" vertical="center"/>
      <protection locked="0"/>
    </xf>
    <xf numFmtId="0" fontId="0" fillId="2" borderId="0" xfId="0" applyFill="1" applyBorder="1" applyProtection="1"/>
    <xf numFmtId="0" fontId="0" fillId="2" borderId="0" xfId="0" applyFill="1" applyBorder="1" applyAlignment="1" applyProtection="1">
      <alignment horizontal="center"/>
    </xf>
    <xf numFmtId="0" fontId="58" fillId="2" borderId="0" xfId="1" applyFont="1" applyFill="1" applyBorder="1" applyAlignment="1" applyProtection="1">
      <alignment horizontal="left" vertical="top" wrapText="1"/>
      <protection locked="0"/>
    </xf>
    <xf numFmtId="166" fontId="14" fillId="4" borderId="3" xfId="1" applyNumberFormat="1" applyFont="1" applyFill="1" applyBorder="1" applyAlignment="1" applyProtection="1">
      <alignment horizontal="center" vertical="center"/>
      <protection locked="0" hidden="1"/>
    </xf>
    <xf numFmtId="0" fontId="14" fillId="2" borderId="0" xfId="0" applyFont="1" applyFill="1" applyBorder="1" applyAlignment="1" applyProtection="1">
      <alignment horizontal="center" vertical="center"/>
      <protection locked="0"/>
    </xf>
    <xf numFmtId="172" fontId="14" fillId="4" borderId="3" xfId="2" applyNumberFormat="1" applyFont="1" applyFill="1" applyBorder="1" applyAlignment="1" applyProtection="1">
      <alignment horizontal="center" vertical="center"/>
      <protection locked="0"/>
    </xf>
    <xf numFmtId="0" fontId="14" fillId="2" borderId="3" xfId="1" applyFont="1" applyFill="1" applyBorder="1" applyAlignment="1" applyProtection="1">
      <alignment horizontal="center" vertical="center"/>
    </xf>
    <xf numFmtId="174" fontId="14" fillId="5" borderId="3" xfId="1" applyNumberFormat="1" applyFont="1" applyFill="1" applyBorder="1" applyAlignment="1" applyProtection="1">
      <alignment horizontal="center" vertical="center"/>
    </xf>
    <xf numFmtId="165" fontId="14" fillId="2" borderId="13" xfId="2" applyNumberFormat="1" applyFont="1" applyFill="1" applyBorder="1" applyAlignment="1" applyProtection="1">
      <alignment vertical="center" wrapText="1"/>
    </xf>
    <xf numFmtId="172" fontId="14" fillId="2" borderId="13" xfId="2" applyNumberFormat="1" applyFont="1" applyFill="1" applyBorder="1" applyAlignment="1" applyProtection="1">
      <alignment vertical="center" wrapText="1"/>
    </xf>
    <xf numFmtId="171" fontId="14" fillId="2" borderId="7" xfId="1" applyNumberFormat="1" applyFont="1" applyFill="1" applyBorder="1" applyAlignment="1" applyProtection="1">
      <alignment horizontal="center" vertical="center"/>
      <protection locked="0"/>
    </xf>
    <xf numFmtId="171" fontId="14" fillId="2" borderId="0" xfId="1" applyNumberFormat="1" applyFont="1" applyFill="1" applyBorder="1" applyAlignment="1" applyProtection="1">
      <alignment horizontal="center" vertical="center"/>
      <protection locked="0"/>
    </xf>
    <xf numFmtId="0" fontId="0" fillId="2" borderId="0" xfId="0" applyFill="1" applyBorder="1" applyProtection="1">
      <protection locked="0"/>
    </xf>
    <xf numFmtId="172" fontId="22" fillId="2" borderId="13" xfId="2" applyNumberFormat="1" applyFont="1" applyFill="1" applyBorder="1" applyAlignment="1" applyProtection="1">
      <alignment horizontal="center" vertical="center" shrinkToFit="1"/>
    </xf>
    <xf numFmtId="165" fontId="14" fillId="2" borderId="13" xfId="2" applyNumberFormat="1" applyFont="1" applyFill="1" applyBorder="1" applyAlignment="1" applyProtection="1">
      <alignment vertical="center" wrapText="1"/>
      <protection locked="0"/>
    </xf>
    <xf numFmtId="172" fontId="14" fillId="2" borderId="13" xfId="2" applyNumberFormat="1" applyFont="1" applyFill="1" applyBorder="1" applyAlignment="1" applyProtection="1">
      <alignment vertical="center" wrapText="1"/>
      <protection locked="0"/>
    </xf>
    <xf numFmtId="172" fontId="14" fillId="2" borderId="3" xfId="2" applyNumberFormat="1" applyFont="1" applyFill="1" applyBorder="1" applyAlignment="1" applyProtection="1">
      <alignment horizontal="center" vertical="center" shrinkToFit="1"/>
    </xf>
    <xf numFmtId="165" fontId="14" fillId="2" borderId="7" xfId="2" applyNumberFormat="1" applyFont="1" applyFill="1" applyBorder="1" applyAlignment="1" applyProtection="1">
      <alignment vertical="center" wrapText="1"/>
      <protection locked="0"/>
    </xf>
    <xf numFmtId="172" fontId="14" fillId="2" borderId="7" xfId="2" applyNumberFormat="1" applyFont="1" applyFill="1" applyBorder="1" applyAlignment="1" applyProtection="1">
      <alignment vertical="center" wrapText="1"/>
      <protection locked="0"/>
    </xf>
    <xf numFmtId="0" fontId="49" fillId="2" borderId="0" xfId="1" applyFont="1" applyFill="1" applyBorder="1" applyAlignment="1" applyProtection="1">
      <alignment horizontal="left" vertical="center" wrapText="1"/>
    </xf>
    <xf numFmtId="169" fontId="14" fillId="5" borderId="6" xfId="1" applyNumberFormat="1" applyFont="1" applyFill="1" applyBorder="1" applyAlignment="1" applyProtection="1">
      <alignment horizontal="center"/>
    </xf>
    <xf numFmtId="0" fontId="14" fillId="2" borderId="4" xfId="2" applyFont="1" applyFill="1" applyBorder="1" applyAlignment="1" applyProtection="1">
      <alignment vertical="center" wrapText="1"/>
    </xf>
    <xf numFmtId="172" fontId="14" fillId="2" borderId="5" xfId="2" applyNumberFormat="1" applyFont="1" applyFill="1" applyBorder="1" applyAlignment="1" applyProtection="1">
      <alignment vertical="center" wrapText="1"/>
    </xf>
    <xf numFmtId="172" fontId="22" fillId="2" borderId="11" xfId="2" applyNumberFormat="1" applyFont="1" applyFill="1" applyBorder="1" applyAlignment="1" applyProtection="1">
      <alignment horizontal="center" vertical="center" wrapText="1"/>
    </xf>
    <xf numFmtId="0" fontId="14" fillId="2" borderId="7" xfId="2" applyFont="1" applyFill="1" applyBorder="1" applyAlignment="1" applyProtection="1">
      <alignment vertical="center"/>
    </xf>
    <xf numFmtId="168" fontId="14" fillId="5" borderId="30" xfId="4" applyNumberFormat="1" applyFont="1" applyFill="1" applyBorder="1" applyAlignment="1" applyProtection="1">
      <alignment horizontal="center" vertical="center"/>
    </xf>
    <xf numFmtId="0" fontId="0" fillId="0" borderId="0" xfId="0" applyFill="1" applyBorder="1" applyProtection="1">
      <protection locked="0"/>
    </xf>
    <xf numFmtId="0" fontId="0" fillId="0" borderId="0" xfId="0" applyFill="1" applyBorder="1" applyProtection="1"/>
    <xf numFmtId="0" fontId="32" fillId="0" borderId="0" xfId="3" applyFont="1" applyFill="1" applyBorder="1" applyProtection="1"/>
    <xf numFmtId="172" fontId="14" fillId="4" borderId="3" xfId="2" applyNumberFormat="1" applyFont="1" applyFill="1" applyBorder="1" applyAlignment="1" applyProtection="1">
      <alignment horizontal="center" vertical="center" wrapText="1"/>
      <protection locked="0"/>
    </xf>
    <xf numFmtId="165" fontId="14" fillId="4" borderId="3" xfId="2" applyNumberFormat="1" applyFont="1" applyFill="1" applyBorder="1" applyAlignment="1" applyProtection="1">
      <alignment horizontal="center" vertical="center" wrapText="1"/>
      <protection locked="0"/>
    </xf>
    <xf numFmtId="0" fontId="14" fillId="2" borderId="6" xfId="1" applyFont="1" applyFill="1" applyBorder="1" applyAlignment="1" applyProtection="1">
      <alignment horizontal="left" vertical="center"/>
    </xf>
    <xf numFmtId="0" fontId="14" fillId="2" borderId="6" xfId="0" applyFont="1" applyFill="1" applyBorder="1" applyAlignment="1" applyProtection="1">
      <alignment horizontal="left" vertical="center"/>
    </xf>
    <xf numFmtId="0" fontId="14" fillId="2" borderId="6" xfId="1" applyFont="1" applyFill="1" applyBorder="1" applyAlignment="1" applyProtection="1">
      <alignment horizontal="left"/>
      <protection locked="0"/>
    </xf>
    <xf numFmtId="0" fontId="14" fillId="2" borderId="6" xfId="1" applyFont="1" applyFill="1" applyBorder="1" applyAlignment="1" applyProtection="1">
      <alignment horizontal="left" vertical="center"/>
      <protection locked="0"/>
    </xf>
    <xf numFmtId="0" fontId="32" fillId="2" borderId="8" xfId="3" applyFont="1" applyFill="1" applyBorder="1" applyProtection="1"/>
    <xf numFmtId="172" fontId="14" fillId="2" borderId="6" xfId="2" applyNumberFormat="1" applyFont="1" applyFill="1" applyBorder="1" applyAlignment="1" applyProtection="1">
      <alignment vertical="center" wrapText="1"/>
    </xf>
    <xf numFmtId="172" fontId="14" fillId="2" borderId="6" xfId="2" applyNumberFormat="1" applyFont="1" applyFill="1" applyBorder="1" applyAlignment="1" applyProtection="1">
      <alignment vertical="center"/>
    </xf>
    <xf numFmtId="0" fontId="14" fillId="2" borderId="4" xfId="2" applyFont="1" applyFill="1" applyBorder="1" applyAlignment="1" applyProtection="1">
      <alignment horizontal="right" vertical="center"/>
    </xf>
    <xf numFmtId="0" fontId="14" fillId="2" borderId="5" xfId="2" applyFont="1" applyFill="1" applyBorder="1" applyAlignment="1" applyProtection="1">
      <alignment vertical="center"/>
    </xf>
    <xf numFmtId="0" fontId="14" fillId="2" borderId="0" xfId="0" applyFont="1" applyFill="1" applyBorder="1" applyAlignment="1" applyProtection="1">
      <alignment horizontal="centerContinuous" vertical="center"/>
      <protection locked="0"/>
    </xf>
    <xf numFmtId="0" fontId="14" fillId="3" borderId="5" xfId="1" applyFont="1" applyFill="1" applyBorder="1" applyAlignment="1" applyProtection="1">
      <alignment horizontal="centerContinuous" vertical="center"/>
      <protection locked="0"/>
    </xf>
    <xf numFmtId="0" fontId="14" fillId="3" borderId="6" xfId="1" applyFont="1" applyFill="1" applyBorder="1" applyAlignment="1" applyProtection="1">
      <alignment horizontal="centerContinuous" vertical="center"/>
      <protection locked="0"/>
    </xf>
    <xf numFmtId="0" fontId="4" fillId="2" borderId="0" xfId="0" applyFont="1" applyFill="1" applyBorder="1" applyAlignment="1" applyProtection="1">
      <protection locked="0"/>
    </xf>
    <xf numFmtId="49" fontId="14" fillId="2" borderId="0" xfId="0" applyNumberFormat="1" applyFont="1" applyFill="1" applyBorder="1" applyAlignment="1" applyProtection="1">
      <alignment horizontal="left" indent="1"/>
      <protection locked="0"/>
    </xf>
    <xf numFmtId="0" fontId="0" fillId="2" borderId="0" xfId="0" applyFill="1" applyBorder="1" applyAlignment="1" applyProtection="1">
      <protection locked="0"/>
    </xf>
    <xf numFmtId="0" fontId="30" fillId="2" borderId="0" xfId="1" applyFill="1" applyBorder="1" applyProtection="1">
      <protection locked="0"/>
    </xf>
    <xf numFmtId="49" fontId="14" fillId="0" borderId="0" xfId="0" applyNumberFormat="1" applyFont="1" applyFill="1" applyBorder="1" applyAlignment="1" applyProtection="1">
      <alignment horizontal="left" indent="1"/>
      <protection locked="0"/>
    </xf>
    <xf numFmtId="0" fontId="0" fillId="2" borderId="0" xfId="0" applyFill="1" applyBorder="1" applyAlignment="1" applyProtection="1">
      <alignment vertical="center"/>
      <protection locked="0"/>
    </xf>
    <xf numFmtId="0" fontId="32" fillId="2" borderId="0" xfId="1" applyFont="1" applyFill="1" applyBorder="1" applyAlignment="1" applyProtection="1">
      <alignment horizontal="center"/>
      <protection locked="0"/>
    </xf>
    <xf numFmtId="175" fontId="14" fillId="0" borderId="3" xfId="0" applyNumberFormat="1" applyFont="1" applyFill="1" applyBorder="1" applyAlignment="1" applyProtection="1">
      <alignment horizontal="center" vertical="center"/>
      <protection locked="0"/>
    </xf>
    <xf numFmtId="0" fontId="0" fillId="2" borderId="0" xfId="0" applyFill="1" applyBorder="1" applyAlignment="1" applyProtection="1">
      <alignment horizontal="center"/>
      <protection locked="0"/>
    </xf>
    <xf numFmtId="0" fontId="0" fillId="0" borderId="1" xfId="0" applyFill="1" applyBorder="1" applyProtection="1">
      <protection locked="0"/>
    </xf>
    <xf numFmtId="0" fontId="0" fillId="0" borderId="2" xfId="0" applyFill="1" applyBorder="1" applyProtection="1">
      <protection locked="0"/>
    </xf>
    <xf numFmtId="165" fontId="14" fillId="5" borderId="3" xfId="2" applyNumberFormat="1" applyFont="1" applyFill="1" applyBorder="1" applyAlignment="1" applyProtection="1">
      <alignment horizontal="center" vertical="center" wrapText="1"/>
    </xf>
    <xf numFmtId="0" fontId="0" fillId="2" borderId="0" xfId="1" applyFont="1" applyFill="1" applyBorder="1" applyProtection="1"/>
    <xf numFmtId="0" fontId="58" fillId="2" borderId="0" xfId="1" applyFont="1" applyFill="1" applyBorder="1" applyAlignment="1" applyProtection="1">
      <alignment horizontal="left" vertical="top" wrapText="1"/>
    </xf>
    <xf numFmtId="165" fontId="14" fillId="5" borderId="4" xfId="2" applyNumberFormat="1" applyFont="1" applyFill="1" applyBorder="1" applyAlignment="1" applyProtection="1">
      <alignment horizontal="center" vertical="center" wrapText="1"/>
    </xf>
    <xf numFmtId="20" fontId="22" fillId="2" borderId="0" xfId="0" applyNumberFormat="1" applyFont="1" applyFill="1" applyBorder="1" applyAlignment="1" applyProtection="1">
      <alignment horizontal="center"/>
      <protection locked="0"/>
    </xf>
    <xf numFmtId="0" fontId="14" fillId="0" borderId="0" xfId="0" applyFont="1" applyBorder="1" applyAlignment="1" applyProtection="1">
      <alignment horizontal="center" vertical="center"/>
      <protection locked="0"/>
    </xf>
    <xf numFmtId="0" fontId="91" fillId="2" borderId="0" xfId="1" applyNumberFormat="1" applyFont="1" applyFill="1" applyBorder="1" applyAlignment="1" applyProtection="1">
      <alignment horizontal="center" vertical="center" wrapText="1"/>
      <protection locked="0"/>
    </xf>
    <xf numFmtId="0" fontId="91" fillId="2" borderId="0" xfId="1" applyNumberFormat="1" applyFont="1" applyFill="1" applyBorder="1" applyAlignment="1" applyProtection="1">
      <alignment horizontal="left" vertical="center" wrapText="1"/>
      <protection locked="0"/>
    </xf>
    <xf numFmtId="0" fontId="107" fillId="2" borderId="0" xfId="1" applyFont="1" applyFill="1" applyBorder="1" applyAlignment="1" applyProtection="1">
      <alignment horizontal="right"/>
      <protection locked="0"/>
    </xf>
    <xf numFmtId="166" fontId="14" fillId="2" borderId="0" xfId="0" applyNumberFormat="1" applyFont="1" applyFill="1" applyBorder="1" applyAlignment="1" applyProtection="1">
      <alignment horizontal="center" vertical="center"/>
      <protection locked="0"/>
    </xf>
    <xf numFmtId="0" fontId="52" fillId="2" borderId="0" xfId="1" applyFont="1" applyFill="1" applyBorder="1" applyAlignment="1" applyProtection="1">
      <alignment horizontal="left" vertical="top" wrapText="1"/>
      <protection locked="0"/>
    </xf>
    <xf numFmtId="0" fontId="14" fillId="2" borderId="4" xfId="2" applyFont="1" applyFill="1" applyBorder="1" applyAlignment="1" applyProtection="1">
      <alignment vertical="center" wrapText="1"/>
      <protection locked="0"/>
    </xf>
    <xf numFmtId="172" fontId="14" fillId="2" borderId="5" xfId="2" applyNumberFormat="1" applyFont="1" applyFill="1" applyBorder="1" applyAlignment="1" applyProtection="1">
      <alignment vertical="center" wrapText="1"/>
      <protection locked="0"/>
    </xf>
    <xf numFmtId="0" fontId="14" fillId="2" borderId="3" xfId="2" applyFont="1" applyFill="1" applyBorder="1" applyAlignment="1" applyProtection="1">
      <alignment horizontal="center" vertical="center" wrapText="1"/>
      <protection locked="0"/>
    </xf>
    <xf numFmtId="0" fontId="14" fillId="2" borderId="3" xfId="2" applyFont="1" applyFill="1" applyBorder="1" applyAlignment="1" applyProtection="1">
      <alignment horizontal="center" vertical="center"/>
      <protection locked="0"/>
    </xf>
    <xf numFmtId="172" fontId="14" fillId="2" borderId="3" xfId="2" applyNumberFormat="1" applyFont="1" applyFill="1" applyBorder="1" applyAlignment="1" applyProtection="1">
      <alignment horizontal="center" vertical="center" shrinkToFit="1"/>
      <protection locked="0"/>
    </xf>
    <xf numFmtId="172" fontId="22" fillId="2" borderId="22" xfId="2" applyNumberFormat="1" applyFont="1" applyFill="1" applyBorder="1" applyAlignment="1" applyProtection="1">
      <alignment horizontal="center" vertical="center"/>
      <protection locked="0"/>
    </xf>
    <xf numFmtId="0" fontId="14" fillId="2" borderId="0" xfId="1" applyFont="1" applyFill="1" applyBorder="1" applyAlignment="1" applyProtection="1">
      <protection locked="0"/>
    </xf>
    <xf numFmtId="0" fontId="14" fillId="2" borderId="0" xfId="2" applyFont="1" applyFill="1" applyBorder="1" applyAlignment="1" applyProtection="1">
      <alignment vertical="center"/>
      <protection locked="0"/>
    </xf>
    <xf numFmtId="0" fontId="14" fillId="2" borderId="7" xfId="2" applyFont="1" applyFill="1" applyBorder="1" applyAlignment="1" applyProtection="1">
      <alignment vertical="center"/>
      <protection locked="0"/>
    </xf>
    <xf numFmtId="172" fontId="22" fillId="2" borderId="11" xfId="2" applyNumberFormat="1" applyFont="1" applyFill="1" applyBorder="1" applyAlignment="1" applyProtection="1">
      <alignment horizontal="center" vertical="center" wrapText="1"/>
      <protection locked="0"/>
    </xf>
    <xf numFmtId="172" fontId="22" fillId="2" borderId="13" xfId="2" applyNumberFormat="1" applyFont="1" applyFill="1" applyBorder="1" applyAlignment="1" applyProtection="1">
      <alignment horizontal="center" vertical="center" shrinkToFit="1"/>
      <protection locked="0"/>
    </xf>
    <xf numFmtId="0" fontId="2" fillId="2" borderId="0" xfId="1" applyFont="1" applyFill="1" applyBorder="1" applyAlignment="1" applyProtection="1">
      <alignment horizontal="left"/>
      <protection locked="0"/>
    </xf>
    <xf numFmtId="0" fontId="90" fillId="2" borderId="0" xfId="1" applyFont="1" applyFill="1" applyBorder="1" applyProtection="1">
      <protection locked="0"/>
    </xf>
    <xf numFmtId="0" fontId="6" fillId="2" borderId="0" xfId="1" applyFont="1" applyFill="1" applyBorder="1" applyAlignment="1" applyProtection="1">
      <alignment horizontal="center"/>
      <protection locked="0"/>
    </xf>
    <xf numFmtId="0" fontId="1" fillId="2" borderId="0" xfId="1" applyFont="1" applyFill="1" applyBorder="1" applyProtection="1"/>
    <xf numFmtId="0" fontId="14" fillId="2" borderId="0" xfId="2" applyFont="1" applyFill="1" applyBorder="1" applyAlignment="1" applyProtection="1">
      <alignment horizontal="center" vertical="center" wrapText="1"/>
      <protection locked="0"/>
    </xf>
    <xf numFmtId="0" fontId="14" fillId="2" borderId="0" xfId="2" applyFont="1" applyFill="1" applyBorder="1" applyProtection="1">
      <protection locked="0"/>
    </xf>
    <xf numFmtId="0" fontId="14" fillId="2" borderId="0" xfId="2" applyFont="1" applyFill="1" applyBorder="1" applyAlignment="1" applyProtection="1">
      <alignment horizontal="center" vertical="center"/>
      <protection locked="0"/>
    </xf>
    <xf numFmtId="0" fontId="51" fillId="2" borderId="0" xfId="1" applyFont="1" applyFill="1" applyBorder="1" applyAlignment="1" applyProtection="1">
      <alignment horizontal="left"/>
      <protection locked="0"/>
    </xf>
    <xf numFmtId="0" fontId="14" fillId="2" borderId="7" xfId="0" applyFont="1" applyFill="1" applyBorder="1" applyAlignment="1" applyProtection="1">
      <alignment horizontal="center" vertical="center"/>
      <protection locked="0"/>
    </xf>
    <xf numFmtId="0" fontId="90" fillId="2" borderId="0" xfId="2" applyFont="1" applyFill="1" applyBorder="1" applyAlignment="1" applyProtection="1">
      <alignment horizontal="left" vertical="top"/>
      <protection locked="0"/>
    </xf>
    <xf numFmtId="0" fontId="29" fillId="2" borderId="0" xfId="0" applyFont="1" applyFill="1" applyBorder="1" applyProtection="1">
      <protection locked="0"/>
    </xf>
    <xf numFmtId="0" fontId="6" fillId="2" borderId="0" xfId="1" quotePrefix="1" applyFont="1" applyFill="1" applyBorder="1" applyAlignment="1" applyProtection="1">
      <alignment horizontal="center"/>
      <protection locked="0"/>
    </xf>
    <xf numFmtId="0" fontId="0" fillId="2" borderId="0" xfId="0" applyFill="1" applyBorder="1" applyAlignment="1" applyProtection="1">
      <alignment horizontal="centerContinuous" vertical="center"/>
      <protection locked="0"/>
    </xf>
    <xf numFmtId="0" fontId="4" fillId="0" borderId="0" xfId="1" applyFont="1" applyBorder="1" applyAlignment="1" applyProtection="1">
      <alignment horizontal="right"/>
    </xf>
    <xf numFmtId="0" fontId="14" fillId="0" borderId="0" xfId="1" applyFont="1" applyBorder="1" applyProtection="1">
      <protection locked="0"/>
    </xf>
    <xf numFmtId="0" fontId="32" fillId="2" borderId="0" xfId="0" applyFont="1" applyFill="1" applyBorder="1" applyAlignment="1" applyProtection="1">
      <alignment vertical="center"/>
      <protection locked="0"/>
    </xf>
    <xf numFmtId="0" fontId="6" fillId="0" borderId="0" xfId="1" quotePrefix="1" applyFont="1" applyBorder="1" applyAlignment="1" applyProtection="1">
      <alignment horizontal="right"/>
      <protection locked="0"/>
    </xf>
    <xf numFmtId="0" fontId="30" fillId="0" borderId="0" xfId="1" applyBorder="1" applyAlignment="1" applyProtection="1">
      <alignment horizontal="center"/>
      <protection locked="0"/>
    </xf>
    <xf numFmtId="0" fontId="29" fillId="0" borderId="0" xfId="0" applyFont="1" applyBorder="1" applyProtection="1">
      <protection locked="0"/>
    </xf>
    <xf numFmtId="0" fontId="32" fillId="2" borderId="0" xfId="1" applyFont="1" applyFill="1" applyBorder="1" applyAlignment="1" applyProtection="1">
      <protection locked="0"/>
    </xf>
    <xf numFmtId="0" fontId="32" fillId="2" borderId="0" xfId="1" applyFont="1" applyFill="1" applyBorder="1" applyAlignment="1" applyProtection="1">
      <alignment wrapText="1"/>
      <protection locked="0"/>
    </xf>
    <xf numFmtId="172" fontId="14" fillId="2" borderId="0" xfId="2" applyNumberFormat="1" applyFont="1" applyFill="1" applyBorder="1" applyAlignment="1" applyProtection="1">
      <alignment wrapText="1"/>
    </xf>
    <xf numFmtId="0" fontId="21" fillId="2" borderId="0" xfId="1" applyFont="1" applyFill="1" applyBorder="1" applyProtection="1"/>
    <xf numFmtId="0" fontId="6" fillId="2" borderId="0" xfId="1" applyFont="1" applyFill="1" applyBorder="1" applyAlignment="1" applyProtection="1">
      <alignment horizontal="center"/>
    </xf>
    <xf numFmtId="0" fontId="73" fillId="2" borderId="0" xfId="1" applyFont="1" applyFill="1" applyBorder="1" applyAlignment="1" applyProtection="1">
      <alignment horizontal="right"/>
      <protection locked="0"/>
    </xf>
    <xf numFmtId="0" fontId="30" fillId="14" borderId="0" xfId="1" applyFill="1" applyBorder="1" applyProtection="1">
      <protection locked="0"/>
    </xf>
    <xf numFmtId="0" fontId="30" fillId="0" borderId="0" xfId="1" applyBorder="1" applyProtection="1">
      <protection locked="0"/>
    </xf>
    <xf numFmtId="0" fontId="47" fillId="2" borderId="0" xfId="1" applyFont="1" applyFill="1" applyBorder="1" applyProtection="1">
      <protection locked="0"/>
    </xf>
    <xf numFmtId="0" fontId="14" fillId="2" borderId="0" xfId="1" applyFont="1" applyFill="1" applyBorder="1" applyAlignment="1" applyProtection="1">
      <alignment vertical="top"/>
      <protection locked="0"/>
    </xf>
    <xf numFmtId="0" fontId="49" fillId="2" borderId="0" xfId="1" applyFont="1" applyFill="1" applyBorder="1" applyAlignment="1" applyProtection="1">
      <alignment horizontal="left"/>
      <protection locked="0"/>
    </xf>
    <xf numFmtId="0" fontId="14" fillId="2" borderId="0" xfId="1" applyFont="1" applyFill="1" applyBorder="1" applyAlignment="1" applyProtection="1">
      <alignment horizontal="left"/>
      <protection locked="0"/>
    </xf>
    <xf numFmtId="0" fontId="0" fillId="2" borderId="7" xfId="0" applyFill="1" applyBorder="1" applyProtection="1">
      <protection locked="0"/>
    </xf>
    <xf numFmtId="0" fontId="0" fillId="2" borderId="7" xfId="0" applyFill="1" applyBorder="1" applyProtection="1"/>
    <xf numFmtId="172" fontId="22" fillId="2" borderId="22" xfId="2" applyNumberFormat="1" applyFont="1" applyFill="1" applyBorder="1" applyAlignment="1" applyProtection="1">
      <alignment horizontal="center" vertical="center" wrapText="1"/>
    </xf>
    <xf numFmtId="0" fontId="19" fillId="2" borderId="10" xfId="0" applyFont="1" applyFill="1" applyBorder="1" applyAlignment="1" applyProtection="1">
      <alignment horizontal="center" vertical="top" wrapText="1"/>
    </xf>
    <xf numFmtId="0" fontId="20" fillId="2" borderId="9" xfId="0" applyFont="1" applyFill="1" applyBorder="1" applyAlignment="1" applyProtection="1">
      <alignment vertical="top" wrapText="1"/>
    </xf>
    <xf numFmtId="0" fontId="19" fillId="2" borderId="9" xfId="0" applyFont="1" applyFill="1" applyBorder="1" applyAlignment="1" applyProtection="1">
      <alignment horizontal="center" vertical="top"/>
    </xf>
    <xf numFmtId="0" fontId="20" fillId="2" borderId="9" xfId="0" applyFont="1" applyFill="1" applyBorder="1" applyAlignment="1" applyProtection="1">
      <alignment horizontal="justify" vertical="top" wrapText="1"/>
    </xf>
    <xf numFmtId="0" fontId="20" fillId="2" borderId="9" xfId="0" applyFont="1" applyFill="1" applyBorder="1" applyAlignment="1" applyProtection="1">
      <alignment horizontal="center" vertical="top"/>
    </xf>
    <xf numFmtId="0" fontId="20" fillId="2" borderId="9" xfId="0" applyFont="1" applyFill="1" applyBorder="1" applyAlignment="1" applyProtection="1">
      <alignment horizontal="center" vertical="top" wrapText="1"/>
    </xf>
    <xf numFmtId="0" fontId="0" fillId="2" borderId="11" xfId="0" applyFont="1" applyFill="1" applyBorder="1" applyAlignment="1" applyProtection="1">
      <alignment wrapText="1"/>
    </xf>
    <xf numFmtId="0" fontId="14" fillId="2" borderId="0" xfId="4" applyNumberFormat="1" applyFont="1" applyFill="1" applyBorder="1" applyAlignment="1" applyProtection="1"/>
    <xf numFmtId="0" fontId="63" fillId="2" borderId="0" xfId="4" applyNumberFormat="1" applyFont="1" applyFill="1" applyBorder="1" applyAlignment="1" applyProtection="1">
      <alignment vertical="center"/>
    </xf>
    <xf numFmtId="168" fontId="19" fillId="2" borderId="0" xfId="4" applyNumberFormat="1" applyFont="1" applyFill="1" applyBorder="1" applyProtection="1"/>
    <xf numFmtId="168" fontId="14" fillId="2" borderId="0" xfId="4" applyNumberFormat="1" applyFont="1" applyFill="1" applyBorder="1" applyAlignment="1" applyProtection="1">
      <alignment vertical="center"/>
    </xf>
    <xf numFmtId="0" fontId="4" fillId="5" borderId="3" xfId="4" applyNumberFormat="1" applyFont="1" applyFill="1" applyBorder="1" applyAlignment="1" applyProtection="1">
      <alignment horizontal="centerContinuous" vertical="center"/>
    </xf>
    <xf numFmtId="14" fontId="4" fillId="5" borderId="3" xfId="4" applyNumberFormat="1" applyFont="1" applyFill="1" applyBorder="1" applyAlignment="1" applyProtection="1">
      <alignment horizontal="center" vertical="center"/>
    </xf>
    <xf numFmtId="0" fontId="4" fillId="2" borderId="0" xfId="3" applyFont="1" applyFill="1" applyBorder="1" applyProtection="1"/>
    <xf numFmtId="0" fontId="72" fillId="2" borderId="0" xfId="2" applyFont="1" applyFill="1" applyBorder="1" applyProtection="1"/>
    <xf numFmtId="0" fontId="41" fillId="2" borderId="0" xfId="3" applyFont="1" applyFill="1" applyBorder="1" applyProtection="1"/>
    <xf numFmtId="0" fontId="20" fillId="2" borderId="0" xfId="1" applyFont="1" applyFill="1" applyBorder="1" applyAlignment="1" applyProtection="1"/>
    <xf numFmtId="168" fontId="61" fillId="2" borderId="0" xfId="4" applyNumberFormat="1" applyFont="1" applyFill="1" applyBorder="1" applyAlignment="1" applyProtection="1">
      <alignment vertical="center"/>
    </xf>
    <xf numFmtId="0" fontId="72" fillId="2" borderId="0" xfId="3" applyFont="1" applyFill="1" applyBorder="1" applyProtection="1"/>
    <xf numFmtId="0" fontId="14" fillId="2" borderId="8" xfId="2" applyFont="1" applyFill="1" applyBorder="1" applyAlignment="1" applyProtection="1">
      <alignment vertical="center"/>
    </xf>
    <xf numFmtId="2" fontId="14" fillId="8" borderId="3" xfId="5" applyNumberFormat="1" applyFont="1" applyFill="1" applyBorder="1" applyAlignment="1" applyProtection="1">
      <alignment horizontal="center" vertical="center" wrapText="1"/>
    </xf>
    <xf numFmtId="172" fontId="14" fillId="2" borderId="3" xfId="2" quotePrefix="1" applyNumberFormat="1" applyFont="1" applyFill="1" applyBorder="1" applyAlignment="1" applyProtection="1">
      <alignment vertical="center"/>
    </xf>
    <xf numFmtId="0" fontId="14" fillId="2" borderId="22" xfId="2" applyFont="1" applyFill="1" applyBorder="1" applyAlignment="1" applyProtection="1">
      <alignment vertical="center"/>
    </xf>
    <xf numFmtId="172" fontId="14" fillId="2" borderId="3" xfId="2" applyNumberFormat="1" applyFont="1" applyFill="1" applyBorder="1" applyAlignment="1" applyProtection="1">
      <alignment vertical="center" wrapText="1"/>
    </xf>
    <xf numFmtId="172" fontId="41" fillId="2" borderId="0" xfId="2" applyNumberFormat="1" applyFont="1" applyFill="1" applyBorder="1" applyAlignment="1" applyProtection="1">
      <alignment horizontal="centerContinuous" vertical="center" wrapText="1"/>
    </xf>
    <xf numFmtId="0" fontId="41" fillId="2" borderId="0" xfId="2" applyFont="1" applyFill="1" applyBorder="1" applyAlignment="1" applyProtection="1">
      <alignment horizontal="centerContinuous" vertical="center"/>
    </xf>
    <xf numFmtId="168" fontId="61" fillId="2" borderId="0" xfId="4" applyNumberFormat="1" applyFont="1" applyFill="1" applyBorder="1" applyProtection="1"/>
    <xf numFmtId="172" fontId="4" fillId="2" borderId="0" xfId="2" applyNumberFormat="1" applyFont="1" applyFill="1" applyBorder="1" applyAlignment="1" applyProtection="1">
      <alignment vertical="center" wrapText="1"/>
    </xf>
    <xf numFmtId="169" fontId="14" fillId="2" borderId="0" xfId="2" applyNumberFormat="1" applyFont="1" applyFill="1" applyBorder="1" applyAlignment="1" applyProtection="1">
      <alignment vertical="center" wrapText="1"/>
    </xf>
    <xf numFmtId="0" fontId="4" fillId="2" borderId="0" xfId="2" applyFont="1" applyFill="1" applyBorder="1" applyAlignment="1" applyProtection="1">
      <alignment horizontal="right" vertical="center"/>
    </xf>
    <xf numFmtId="169" fontId="14" fillId="2" borderId="0" xfId="2" applyNumberFormat="1" applyFont="1" applyFill="1" applyBorder="1" applyAlignment="1" applyProtection="1">
      <alignment wrapText="1"/>
    </xf>
    <xf numFmtId="172" fontId="30" fillId="2" borderId="0" xfId="2" applyNumberFormat="1" applyFill="1" applyBorder="1" applyAlignment="1" applyProtection="1">
      <alignment wrapText="1"/>
    </xf>
    <xf numFmtId="0" fontId="41" fillId="2" borderId="0" xfId="1" applyFont="1" applyFill="1" applyBorder="1" applyAlignment="1" applyProtection="1">
      <alignment horizontal="centerContinuous" vertical="center"/>
    </xf>
    <xf numFmtId="0" fontId="74" fillId="2" borderId="0" xfId="0" applyFont="1" applyFill="1" applyBorder="1" applyAlignment="1" applyProtection="1">
      <alignment horizontal="centerContinuous" vertical="center"/>
    </xf>
    <xf numFmtId="0" fontId="41" fillId="2" borderId="0" xfId="1" applyFont="1" applyFill="1" applyBorder="1" applyAlignment="1" applyProtection="1">
      <alignment horizontal="center"/>
    </xf>
    <xf numFmtId="0" fontId="41" fillId="2" borderId="0" xfId="1" applyFont="1" applyFill="1" applyBorder="1" applyProtection="1"/>
    <xf numFmtId="168" fontId="19" fillId="2" borderId="0" xfId="4" applyNumberFormat="1" applyFont="1" applyFill="1" applyBorder="1" applyAlignment="1" applyProtection="1">
      <alignment vertical="center"/>
    </xf>
    <xf numFmtId="168" fontId="14" fillId="2" borderId="0" xfId="4" applyNumberFormat="1" applyFont="1" applyFill="1" applyBorder="1" applyProtection="1"/>
    <xf numFmtId="168" fontId="66" fillId="2" borderId="0" xfId="4" applyNumberFormat="1" applyFont="1" applyFill="1" applyBorder="1" applyProtection="1"/>
    <xf numFmtId="168" fontId="4" fillId="2" borderId="0" xfId="4" applyNumberFormat="1" applyFont="1" applyFill="1" applyBorder="1" applyAlignment="1" applyProtection="1">
      <alignment horizontal="center"/>
    </xf>
    <xf numFmtId="168" fontId="4" fillId="2" borderId="0" xfId="4" applyNumberFormat="1" applyFont="1" applyFill="1" applyBorder="1" applyProtection="1"/>
    <xf numFmtId="168" fontId="32" fillId="2" borderId="0" xfId="4" applyNumberFormat="1" applyFont="1" applyFill="1" applyBorder="1" applyProtection="1"/>
    <xf numFmtId="0" fontId="14" fillId="2" borderId="0" xfId="1" applyFont="1" applyFill="1" applyBorder="1" applyAlignment="1" applyProtection="1">
      <alignment horizontal="right"/>
    </xf>
    <xf numFmtId="0" fontId="14" fillId="2" borderId="0" xfId="1" applyFont="1" applyFill="1" applyBorder="1" applyAlignment="1" applyProtection="1">
      <alignment vertical="top" wrapText="1"/>
    </xf>
    <xf numFmtId="169" fontId="14" fillId="2" borderId="0" xfId="1" applyNumberFormat="1" applyFont="1" applyFill="1" applyBorder="1" applyProtection="1"/>
    <xf numFmtId="0" fontId="30" fillId="2" borderId="0" xfId="1" applyFill="1" applyBorder="1" applyAlignment="1" applyProtection="1">
      <alignment horizontal="center"/>
    </xf>
    <xf numFmtId="0" fontId="4" fillId="2" borderId="0" xfId="4" applyNumberFormat="1" applyFont="1" applyFill="1" applyBorder="1" applyAlignment="1" applyProtection="1">
      <alignment horizontal="right" vertical="center"/>
    </xf>
    <xf numFmtId="0" fontId="21" fillId="5" borderId="4" xfId="4" applyNumberFormat="1" applyFont="1" applyFill="1" applyBorder="1" applyAlignment="1" applyProtection="1">
      <alignment horizontal="left" vertical="center"/>
    </xf>
    <xf numFmtId="0" fontId="1" fillId="5" borderId="5" xfId="0" applyFont="1" applyFill="1" applyBorder="1" applyAlignment="1">
      <alignment horizontal="centerContinuous" vertical="center"/>
    </xf>
    <xf numFmtId="0" fontId="118" fillId="5" borderId="4" xfId="4" applyNumberFormat="1" applyFont="1" applyFill="1" applyBorder="1" applyAlignment="1" applyProtection="1">
      <alignment horizontal="centerContinuous" vertical="center"/>
    </xf>
    <xf numFmtId="0" fontId="119" fillId="5" borderId="5" xfId="0" applyFont="1" applyFill="1" applyBorder="1" applyAlignment="1">
      <alignment horizontal="centerContinuous" vertical="center"/>
    </xf>
    <xf numFmtId="0" fontId="14" fillId="2" borderId="0" xfId="2" applyFont="1" applyFill="1" applyAlignment="1" applyProtection="1"/>
    <xf numFmtId="0" fontId="32" fillId="0" borderId="0" xfId="2" applyFont="1" applyFill="1" applyAlignment="1" applyProtection="1"/>
    <xf numFmtId="14" fontId="4" fillId="2" borderId="0" xfId="4" applyNumberFormat="1" applyFont="1" applyFill="1" applyBorder="1" applyAlignment="1" applyProtection="1">
      <alignment horizontal="centerContinuous" vertical="center"/>
    </xf>
    <xf numFmtId="0" fontId="63" fillId="2" borderId="0" xfId="4" applyNumberFormat="1" applyFont="1" applyFill="1" applyBorder="1" applyAlignment="1" applyProtection="1">
      <alignment horizontal="centerContinuous" vertical="center"/>
    </xf>
    <xf numFmtId="168" fontId="19" fillId="2" borderId="8" xfId="4" applyNumberFormat="1" applyFont="1" applyFill="1" applyBorder="1" applyAlignment="1" applyProtection="1">
      <alignment horizontal="centerContinuous" vertical="center"/>
    </xf>
    <xf numFmtId="0" fontId="14" fillId="2" borderId="0" xfId="2" applyFont="1" applyFill="1" applyBorder="1" applyAlignment="1" applyProtection="1"/>
    <xf numFmtId="168" fontId="19" fillId="2" borderId="2" xfId="4" applyNumberFormat="1" applyFont="1" applyFill="1" applyBorder="1" applyAlignment="1" applyProtection="1">
      <alignment horizontal="centerContinuous" vertical="center"/>
    </xf>
    <xf numFmtId="0" fontId="4" fillId="2" borderId="3" xfId="3" applyFont="1" applyFill="1" applyBorder="1" applyAlignment="1" applyProtection="1">
      <alignment vertical="center"/>
    </xf>
    <xf numFmtId="0" fontId="36" fillId="0" borderId="3" xfId="0" applyFont="1" applyBorder="1" applyAlignment="1" applyProtection="1">
      <alignment horizontal="left" vertical="center" wrapText="1"/>
    </xf>
    <xf numFmtId="0" fontId="4" fillId="2" borderId="0" xfId="1" applyFont="1" applyFill="1" applyAlignment="1" applyProtection="1">
      <alignment horizontal="left" vertical="center"/>
    </xf>
    <xf numFmtId="0" fontId="14" fillId="2" borderId="0" xfId="1" applyFont="1" applyFill="1" applyBorder="1" applyAlignment="1" applyProtection="1">
      <alignment horizontal="left" vertical="center"/>
    </xf>
    <xf numFmtId="0" fontId="45" fillId="2" borderId="0" xfId="1" applyFont="1" applyFill="1" applyBorder="1" applyAlignment="1" applyProtection="1">
      <alignment horizontal="left"/>
    </xf>
    <xf numFmtId="174" fontId="64" fillId="9" borderId="0" xfId="1" applyNumberFormat="1" applyFont="1" applyFill="1" applyBorder="1" applyAlignment="1" applyProtection="1">
      <alignment horizontal="center"/>
    </xf>
    <xf numFmtId="176" fontId="29" fillId="2" borderId="0" xfId="4" applyNumberFormat="1" applyFont="1" applyFill="1" applyBorder="1" applyAlignment="1" applyProtection="1">
      <alignment vertical="center"/>
    </xf>
    <xf numFmtId="168" fontId="4" fillId="2" borderId="0" xfId="4" applyNumberFormat="1" applyFont="1" applyFill="1" applyAlignment="1" applyProtection="1">
      <alignment vertical="center"/>
    </xf>
    <xf numFmtId="0" fontId="4" fillId="2" borderId="0" xfId="2" applyFont="1" applyFill="1" applyBorder="1" applyProtection="1"/>
    <xf numFmtId="0" fontId="14" fillId="0" borderId="0" xfId="1" applyFont="1" applyFill="1" applyBorder="1" applyProtection="1"/>
    <xf numFmtId="0" fontId="14" fillId="2" borderId="5" xfId="2" applyFont="1" applyFill="1" applyBorder="1" applyAlignment="1" applyProtection="1">
      <alignment vertical="center"/>
      <protection locked="0"/>
    </xf>
    <xf numFmtId="0" fontId="60" fillId="2" borderId="3" xfId="1" applyNumberFormat="1" applyFont="1" applyFill="1" applyBorder="1" applyAlignment="1" applyProtection="1">
      <alignment horizontal="center" vertical="center"/>
    </xf>
    <xf numFmtId="0" fontId="60" fillId="8" borderId="3" xfId="0" applyNumberFormat="1" applyFont="1" applyFill="1" applyBorder="1" applyAlignment="1" applyProtection="1">
      <alignment horizontal="center" vertical="center"/>
    </xf>
    <xf numFmtId="0" fontId="14" fillId="2" borderId="4" xfId="1" applyFont="1" applyFill="1" applyBorder="1" applyAlignment="1" applyProtection="1">
      <alignment horizontal="left" vertical="center"/>
    </xf>
    <xf numFmtId="0" fontId="14" fillId="2" borderId="6" xfId="1" applyFont="1" applyFill="1" applyBorder="1" applyAlignment="1" applyProtection="1">
      <alignment vertical="center"/>
    </xf>
    <xf numFmtId="0" fontId="14" fillId="0" borderId="4" xfId="1" applyFont="1" applyBorder="1" applyAlignment="1" applyProtection="1">
      <alignment horizontal="left"/>
    </xf>
    <xf numFmtId="0" fontId="6" fillId="2" borderId="0" xfId="1" applyFont="1" applyFill="1" applyAlignment="1" applyProtection="1">
      <alignment horizontal="centerContinuous" vertical="center"/>
      <protection locked="0"/>
    </xf>
    <xf numFmtId="0" fontId="4" fillId="2" borderId="0" xfId="1" applyFont="1" applyFill="1" applyAlignment="1" applyProtection="1">
      <alignment horizontal="centerContinuous" vertical="center"/>
    </xf>
    <xf numFmtId="0" fontId="6" fillId="2" borderId="0" xfId="1" applyFont="1" applyFill="1" applyAlignment="1" applyProtection="1">
      <alignment horizontal="centerContinuous" vertical="center"/>
    </xf>
    <xf numFmtId="0" fontId="6" fillId="2" borderId="0" xfId="4" applyFont="1" applyFill="1" applyProtection="1"/>
    <xf numFmtId="0" fontId="6" fillId="2" borderId="0" xfId="3" applyFont="1" applyFill="1" applyProtection="1"/>
    <xf numFmtId="167" fontId="14" fillId="4" borderId="3" xfId="1" applyNumberFormat="1" applyFont="1" applyFill="1" applyBorder="1" applyAlignment="1" applyProtection="1">
      <alignment horizontal="center" vertical="center"/>
      <protection locked="0"/>
    </xf>
    <xf numFmtId="0" fontId="14" fillId="2" borderId="0" xfId="1" applyFont="1" applyFill="1" applyBorder="1" applyAlignment="1" applyProtection="1">
      <alignment horizontal="centerContinuous" wrapText="1"/>
      <protection locked="0"/>
    </xf>
    <xf numFmtId="0" fontId="106" fillId="2" borderId="0" xfId="1" applyFont="1" applyFill="1" applyBorder="1" applyAlignment="1" applyProtection="1">
      <alignment horizontal="centerContinuous" vertical="center" wrapText="1"/>
    </xf>
    <xf numFmtId="0" fontId="14" fillId="2" borderId="0" xfId="0" applyFont="1" applyFill="1" applyBorder="1" applyAlignment="1" applyProtection="1">
      <alignment horizontal="centerContinuous" vertical="center" wrapText="1"/>
      <protection locked="0"/>
    </xf>
    <xf numFmtId="0" fontId="0" fillId="2" borderId="0" xfId="0" applyFill="1" applyBorder="1" applyAlignment="1" applyProtection="1">
      <alignment horizontal="centerContinuous" vertical="center" wrapText="1"/>
      <protection locked="0"/>
    </xf>
    <xf numFmtId="0" fontId="90" fillId="2" borderId="0" xfId="2" applyFont="1" applyFill="1" applyBorder="1" applyAlignment="1" applyProtection="1">
      <alignment vertical="center"/>
      <protection locked="0"/>
    </xf>
    <xf numFmtId="168" fontId="67" fillId="2" borderId="0" xfId="4" applyNumberFormat="1" applyFont="1" applyFill="1" applyProtection="1"/>
    <xf numFmtId="0" fontId="123" fillId="2" borderId="0" xfId="4" applyFont="1" applyFill="1" applyAlignment="1" applyProtection="1">
      <alignment horizontal="left" vertical="center"/>
    </xf>
    <xf numFmtId="0" fontId="124" fillId="2" borderId="18" xfId="1" applyFont="1" applyFill="1" applyBorder="1" applyAlignment="1" applyProtection="1">
      <alignment horizontal="left"/>
    </xf>
    <xf numFmtId="0" fontId="124" fillId="2" borderId="19" xfId="1" applyFont="1" applyFill="1" applyBorder="1" applyAlignment="1" applyProtection="1">
      <alignment horizontal="left"/>
    </xf>
    <xf numFmtId="0" fontId="124" fillId="2" borderId="19" xfId="4" applyFont="1" applyFill="1" applyBorder="1" applyAlignment="1" applyProtection="1">
      <alignment horizontal="left"/>
    </xf>
    <xf numFmtId="168" fontId="124" fillId="2" borderId="33" xfId="4" applyNumberFormat="1" applyFont="1" applyFill="1" applyBorder="1" applyAlignment="1" applyProtection="1">
      <alignment horizontal="left"/>
    </xf>
    <xf numFmtId="168" fontId="124" fillId="2" borderId="18" xfId="4" applyNumberFormat="1" applyFont="1" applyFill="1" applyBorder="1" applyAlignment="1" applyProtection="1">
      <alignment horizontal="left" vertical="center"/>
    </xf>
    <xf numFmtId="0" fontId="124" fillId="2" borderId="33" xfId="4" applyFont="1" applyFill="1" applyBorder="1" applyAlignment="1" applyProtection="1">
      <alignment horizontal="left"/>
    </xf>
    <xf numFmtId="0" fontId="129" fillId="2" borderId="0" xfId="4" applyFont="1" applyFill="1" applyProtection="1"/>
    <xf numFmtId="0" fontId="124" fillId="2" borderId="35" xfId="4" applyFont="1" applyFill="1" applyBorder="1" applyAlignment="1" applyProtection="1">
      <alignment horizontal="left"/>
    </xf>
    <xf numFmtId="0" fontId="124" fillId="2" borderId="25" xfId="1" applyFont="1" applyFill="1" applyBorder="1" applyAlignment="1" applyProtection="1">
      <alignment horizontal="left"/>
    </xf>
    <xf numFmtId="0" fontId="124" fillId="2" borderId="18" xfId="4" applyFont="1" applyFill="1" applyBorder="1" applyAlignment="1" applyProtection="1">
      <alignment horizontal="left"/>
    </xf>
    <xf numFmtId="0" fontId="124" fillId="2" borderId="20" xfId="4" applyFont="1" applyFill="1" applyBorder="1" applyAlignment="1" applyProtection="1">
      <alignment horizontal="left"/>
    </xf>
    <xf numFmtId="0" fontId="124" fillId="2" borderId="25" xfId="4" applyFont="1" applyFill="1" applyBorder="1" applyAlignment="1" applyProtection="1">
      <alignment horizontal="left" vertical="center"/>
    </xf>
    <xf numFmtId="0" fontId="124" fillId="2" borderId="25" xfId="4" applyFont="1" applyFill="1" applyBorder="1" applyAlignment="1" applyProtection="1">
      <alignment horizontal="left"/>
    </xf>
    <xf numFmtId="0" fontId="130" fillId="2" borderId="0" xfId="4" applyFont="1" applyFill="1" applyAlignment="1" applyProtection="1">
      <alignment horizontal="left" vertical="center"/>
    </xf>
    <xf numFmtId="0" fontId="124" fillId="2" borderId="32" xfId="4" applyFont="1" applyFill="1" applyBorder="1" applyAlignment="1" applyProtection="1">
      <alignment horizontal="left"/>
    </xf>
    <xf numFmtId="0" fontId="41" fillId="2" borderId="0" xfId="1" applyFont="1" applyFill="1" applyAlignment="1" applyProtection="1">
      <alignment vertical="center"/>
    </xf>
    <xf numFmtId="0" fontId="66" fillId="2" borderId="0" xfId="4" applyNumberFormat="1" applyFont="1" applyFill="1" applyBorder="1" applyAlignment="1" applyProtection="1">
      <alignment horizontal="center" vertical="center"/>
    </xf>
    <xf numFmtId="0" fontId="60" fillId="2" borderId="0" xfId="1" applyFont="1" applyFill="1" applyAlignment="1" applyProtection="1">
      <alignment vertical="center"/>
    </xf>
    <xf numFmtId="0" fontId="60" fillId="2" borderId="5" xfId="0" applyNumberFormat="1" applyFont="1" applyFill="1" applyBorder="1" applyAlignment="1" applyProtection="1">
      <alignment horizontal="center" vertical="center"/>
    </xf>
    <xf numFmtId="167" fontId="4" fillId="5" borderId="14" xfId="4" applyNumberFormat="1" applyFont="1" applyFill="1" applyBorder="1" applyAlignment="1" applyProtection="1">
      <alignment horizontal="centerContinuous" vertical="center"/>
    </xf>
    <xf numFmtId="168" fontId="14" fillId="8" borderId="3" xfId="1" applyNumberFormat="1" applyFont="1" applyFill="1" applyBorder="1" applyAlignment="1" applyProtection="1">
      <alignment horizontal="center" vertical="center"/>
    </xf>
    <xf numFmtId="167" fontId="14" fillId="2" borderId="0" xfId="1" applyNumberFormat="1" applyFont="1" applyFill="1" applyBorder="1" applyAlignment="1" applyProtection="1">
      <alignment vertical="center"/>
    </xf>
    <xf numFmtId="0" fontId="14" fillId="2" borderId="15" xfId="1" applyFont="1" applyFill="1" applyBorder="1" applyAlignment="1" applyProtection="1">
      <alignment vertical="center"/>
    </xf>
    <xf numFmtId="0" fontId="14" fillId="0" borderId="0" xfId="1" applyFont="1" applyAlignment="1" applyProtection="1">
      <alignment vertical="center"/>
    </xf>
    <xf numFmtId="0" fontId="14" fillId="0" borderId="8" xfId="1" applyFont="1" applyBorder="1" applyAlignment="1" applyProtection="1">
      <alignment vertical="center"/>
    </xf>
    <xf numFmtId="171" fontId="14" fillId="5" borderId="3" xfId="1" applyNumberFormat="1" applyFont="1" applyFill="1" applyBorder="1" applyAlignment="1" applyProtection="1">
      <alignment horizontal="center" vertical="center"/>
    </xf>
    <xf numFmtId="174" fontId="64" fillId="12" borderId="3" xfId="1" applyNumberFormat="1" applyFont="1" applyFill="1" applyBorder="1" applyAlignment="1" applyProtection="1">
      <alignment horizontal="center" vertical="center"/>
    </xf>
    <xf numFmtId="166" fontId="14" fillId="8" borderId="3" xfId="1" applyNumberFormat="1" applyFont="1" applyFill="1" applyBorder="1" applyAlignment="1" applyProtection="1">
      <alignment horizontal="center" vertical="center"/>
    </xf>
    <xf numFmtId="168" fontId="14" fillId="2" borderId="11" xfId="1" applyNumberFormat="1" applyFont="1" applyFill="1" applyBorder="1" applyAlignment="1" applyProtection="1">
      <alignment horizontal="center" vertical="center"/>
    </xf>
    <xf numFmtId="177" fontId="14" fillId="7" borderId="3" xfId="1" applyNumberFormat="1" applyFont="1" applyFill="1" applyBorder="1" applyAlignment="1" applyProtection="1">
      <alignment horizontal="center" vertical="center"/>
    </xf>
    <xf numFmtId="177" fontId="14" fillId="2" borderId="3" xfId="1" applyNumberFormat="1" applyFont="1" applyFill="1" applyBorder="1" applyAlignment="1" applyProtection="1">
      <alignment horizontal="center" vertical="center"/>
    </xf>
    <xf numFmtId="175" fontId="14" fillId="2" borderId="0" xfId="2" applyNumberFormat="1" applyFont="1" applyFill="1" applyBorder="1" applyAlignment="1" applyProtection="1">
      <alignment horizontal="center" vertical="center"/>
    </xf>
    <xf numFmtId="0" fontId="30" fillId="0" borderId="0" xfId="1" applyFill="1" applyAlignment="1" applyProtection="1">
      <alignment vertical="center"/>
      <protection locked="0"/>
    </xf>
    <xf numFmtId="0" fontId="4" fillId="5" borderId="4" xfId="0" applyFont="1" applyFill="1" applyBorder="1" applyAlignment="1" applyProtection="1">
      <alignment horizontal="left" vertical="center"/>
    </xf>
    <xf numFmtId="0" fontId="14" fillId="5" borderId="6" xfId="4" applyFont="1" applyFill="1" applyBorder="1" applyProtection="1"/>
    <xf numFmtId="168" fontId="64" fillId="5" borderId="5" xfId="4" applyNumberFormat="1" applyFont="1" applyFill="1" applyBorder="1" applyAlignment="1" applyProtection="1">
      <alignment horizontal="centerContinuous" vertical="center"/>
    </xf>
    <xf numFmtId="0" fontId="77" fillId="5" borderId="4" xfId="4" applyFont="1" applyFill="1" applyBorder="1" applyAlignment="1" applyProtection="1">
      <alignment horizontal="centerContinuous" vertical="center"/>
    </xf>
    <xf numFmtId="168" fontId="14" fillId="5" borderId="6" xfId="4" applyNumberFormat="1" applyFont="1" applyFill="1" applyBorder="1" applyAlignment="1" applyProtection="1">
      <alignment horizontal="centerContinuous" vertical="center"/>
    </xf>
    <xf numFmtId="0" fontId="66" fillId="5" borderId="5" xfId="4" applyNumberFormat="1" applyFont="1" applyFill="1" applyBorder="1" applyAlignment="1" applyProtection="1">
      <alignment horizontal="centerContinuous" vertical="center"/>
    </xf>
    <xf numFmtId="0" fontId="66" fillId="5" borderId="6" xfId="4" applyNumberFormat="1" applyFont="1" applyFill="1" applyBorder="1" applyAlignment="1" applyProtection="1">
      <alignment horizontal="centerContinuous" vertical="center"/>
    </xf>
    <xf numFmtId="0" fontId="4" fillId="2" borderId="0" xfId="0" quotePrefix="1" applyFont="1" applyFill="1" applyBorder="1" applyAlignment="1" applyProtection="1">
      <alignment horizontal="centerContinuous" vertical="center"/>
    </xf>
    <xf numFmtId="0" fontId="118" fillId="5" borderId="3" xfId="4" applyFont="1" applyFill="1" applyBorder="1" applyAlignment="1" applyProtection="1">
      <alignment horizontal="centerContinuous" vertical="center"/>
    </xf>
    <xf numFmtId="0" fontId="124" fillId="2" borderId="33" xfId="4" applyFont="1" applyFill="1" applyBorder="1" applyAlignment="1" applyProtection="1">
      <alignment horizontal="left" vertical="top" wrapText="1"/>
    </xf>
    <xf numFmtId="167" fontId="14" fillId="10" borderId="34" xfId="4" applyNumberFormat="1" applyFont="1" applyFill="1" applyBorder="1" applyAlignment="1" applyProtection="1">
      <alignment horizontal="center" vertical="center" wrapText="1"/>
    </xf>
    <xf numFmtId="0" fontId="14" fillId="2" borderId="37" xfId="4" applyFont="1" applyFill="1" applyBorder="1" applyAlignment="1" applyProtection="1">
      <alignment horizontal="center" vertical="center" wrapText="1"/>
    </xf>
    <xf numFmtId="168" fontId="14" fillId="0" borderId="37" xfId="4" applyNumberFormat="1" applyFont="1" applyBorder="1" applyAlignment="1" applyProtection="1">
      <alignment horizontal="center" vertical="center" wrapText="1"/>
    </xf>
    <xf numFmtId="0" fontId="14" fillId="2" borderId="3" xfId="1" applyNumberFormat="1" applyFont="1" applyFill="1" applyBorder="1" applyAlignment="1" applyProtection="1">
      <alignment horizontal="center"/>
    </xf>
    <xf numFmtId="0" fontId="136" fillId="2" borderId="0" xfId="1" applyFont="1" applyFill="1" applyBorder="1" applyAlignment="1" applyProtection="1">
      <alignment horizontal="left"/>
      <protection locked="0"/>
    </xf>
    <xf numFmtId="0" fontId="139" fillId="2" borderId="0" xfId="1" applyFont="1" applyFill="1" applyBorder="1" applyAlignment="1" applyProtection="1">
      <alignment horizontal="left"/>
      <protection locked="0"/>
    </xf>
    <xf numFmtId="168" fontId="150" fillId="2" borderId="0" xfId="4" applyNumberFormat="1" applyFont="1" applyFill="1" applyAlignment="1" applyProtection="1">
      <alignment horizontal="centerContinuous"/>
    </xf>
    <xf numFmtId="168" fontId="36" fillId="2" borderId="0" xfId="4" applyNumberFormat="1" applyFont="1" applyFill="1" applyAlignment="1" applyProtection="1">
      <alignment horizontal="centerContinuous"/>
    </xf>
    <xf numFmtId="0" fontId="150" fillId="2" borderId="0" xfId="4" applyFont="1" applyFill="1" applyProtection="1"/>
    <xf numFmtId="0" fontId="6" fillId="2" borderId="0" xfId="2" applyFont="1" applyFill="1" applyAlignment="1" applyProtection="1">
      <alignment horizontal="left" vertical="center"/>
    </xf>
    <xf numFmtId="0" fontId="151" fillId="2" borderId="0" xfId="3" applyFont="1" applyFill="1" applyProtection="1"/>
    <xf numFmtId="0" fontId="124" fillId="2" borderId="4" xfId="3" applyFont="1" applyFill="1" applyBorder="1" applyProtection="1"/>
    <xf numFmtId="0" fontId="124" fillId="2" borderId="0" xfId="3" applyFont="1" applyFill="1" applyBorder="1" applyProtection="1"/>
    <xf numFmtId="0" fontId="129" fillId="2" borderId="0" xfId="3" applyFont="1" applyFill="1" applyProtection="1"/>
    <xf numFmtId="0" fontId="124" fillId="2" borderId="3" xfId="3" applyFont="1" applyFill="1" applyBorder="1" applyProtection="1"/>
    <xf numFmtId="0" fontId="124" fillId="2" borderId="15" xfId="3" applyFont="1" applyFill="1" applyBorder="1" applyProtection="1"/>
    <xf numFmtId="165" fontId="124" fillId="0" borderId="3" xfId="2" applyNumberFormat="1" applyFont="1" applyBorder="1" applyAlignment="1" applyProtection="1">
      <alignment vertical="center" wrapText="1"/>
    </xf>
    <xf numFmtId="171" fontId="124" fillId="0" borderId="3" xfId="2" applyNumberFormat="1" applyFont="1" applyBorder="1" applyAlignment="1" applyProtection="1">
      <alignment vertical="center" wrapText="1"/>
    </xf>
    <xf numFmtId="0" fontId="124" fillId="2" borderId="21" xfId="2" applyFont="1" applyFill="1" applyBorder="1" applyAlignment="1" applyProtection="1">
      <alignment vertical="center"/>
    </xf>
    <xf numFmtId="169" fontId="124" fillId="2" borderId="21" xfId="2" applyNumberFormat="1" applyFont="1" applyFill="1" applyBorder="1" applyAlignment="1" applyProtection="1">
      <alignment vertical="center"/>
    </xf>
    <xf numFmtId="0" fontId="124" fillId="2" borderId="4" xfId="2" applyFont="1" applyFill="1" applyBorder="1" applyProtection="1"/>
    <xf numFmtId="169" fontId="124" fillId="2" borderId="4" xfId="2" applyNumberFormat="1" applyFont="1" applyFill="1" applyBorder="1" applyAlignment="1" applyProtection="1">
      <alignment vertical="center"/>
    </xf>
    <xf numFmtId="0" fontId="124" fillId="2" borderId="3" xfId="2" applyFont="1" applyFill="1" applyBorder="1" applyAlignment="1" applyProtection="1">
      <alignment horizontal="left" vertical="center"/>
    </xf>
    <xf numFmtId="172" fontId="124" fillId="2" borderId="3" xfId="2" applyNumberFormat="1" applyFont="1" applyFill="1" applyBorder="1" applyAlignment="1" applyProtection="1">
      <alignment horizontal="left" vertical="center"/>
    </xf>
    <xf numFmtId="0" fontId="124" fillId="2" borderId="4" xfId="2" applyFont="1" applyFill="1" applyBorder="1" applyAlignment="1" applyProtection="1">
      <alignment vertical="center"/>
    </xf>
    <xf numFmtId="169" fontId="124" fillId="2" borderId="4" xfId="2" applyNumberFormat="1" applyFont="1" applyFill="1" applyBorder="1" applyProtection="1"/>
    <xf numFmtId="0" fontId="124" fillId="2" borderId="10" xfId="2" applyFont="1" applyFill="1" applyBorder="1" applyAlignment="1" applyProtection="1">
      <alignment vertical="center"/>
    </xf>
    <xf numFmtId="169" fontId="124" fillId="2" borderId="3" xfId="2" applyNumberFormat="1" applyFont="1" applyFill="1" applyBorder="1" applyAlignment="1" applyProtection="1">
      <alignment vertical="center"/>
    </xf>
    <xf numFmtId="0" fontId="124" fillId="0" borderId="4" xfId="2" applyFont="1" applyBorder="1" applyProtection="1"/>
    <xf numFmtId="0" fontId="124" fillId="2" borderId="4" xfId="2" applyFont="1" applyFill="1" applyBorder="1" applyAlignment="1" applyProtection="1">
      <alignment vertical="top"/>
    </xf>
    <xf numFmtId="168" fontId="14" fillId="2" borderId="3" xfId="2" applyNumberFormat="1" applyFont="1" applyFill="1" applyBorder="1" applyAlignment="1" applyProtection="1">
      <alignment horizontal="center" vertical="center"/>
    </xf>
    <xf numFmtId="0" fontId="124" fillId="2" borderId="5" xfId="3" applyFont="1" applyFill="1" applyBorder="1" applyProtection="1"/>
    <xf numFmtId="0" fontId="124" fillId="0" borderId="4" xfId="1" applyFont="1" applyBorder="1" applyProtection="1"/>
    <xf numFmtId="0" fontId="124" fillId="2" borderId="4" xfId="1" applyFont="1" applyFill="1" applyBorder="1" applyProtection="1"/>
    <xf numFmtId="0" fontId="155" fillId="2" borderId="4" xfId="1" applyFont="1" applyFill="1" applyBorder="1" applyAlignment="1" applyProtection="1">
      <alignment horizontal="left"/>
    </xf>
    <xf numFmtId="0" fontId="124" fillId="0" borderId="4" xfId="1" applyFont="1" applyBorder="1" applyAlignment="1" applyProtection="1">
      <alignment vertical="center"/>
    </xf>
    <xf numFmtId="0" fontId="155" fillId="0" borderId="4" xfId="1" applyFont="1" applyBorder="1" applyAlignment="1" applyProtection="1">
      <alignment horizontal="left"/>
    </xf>
    <xf numFmtId="168" fontId="124" fillId="2" borderId="0" xfId="1" applyNumberFormat="1" applyFont="1" applyFill="1" applyBorder="1" applyAlignment="1" applyProtection="1">
      <alignment vertical="center"/>
    </xf>
    <xf numFmtId="0" fontId="124" fillId="2" borderId="4" xfId="1" applyFont="1" applyFill="1" applyBorder="1" applyAlignment="1" applyProtection="1">
      <alignment horizontal="left" vertical="center"/>
    </xf>
    <xf numFmtId="0" fontId="124" fillId="0" borderId="4" xfId="1" applyFont="1" applyBorder="1" applyAlignment="1" applyProtection="1">
      <alignment horizontal="left" vertical="center"/>
    </xf>
    <xf numFmtId="0" fontId="124" fillId="0" borderId="4" xfId="2" applyFont="1" applyBorder="1" applyAlignment="1" applyProtection="1">
      <alignment vertical="center"/>
    </xf>
    <xf numFmtId="0" fontId="129" fillId="2" borderId="4" xfId="2" applyFont="1" applyFill="1" applyBorder="1" applyAlignment="1" applyProtection="1">
      <alignment vertical="center"/>
    </xf>
    <xf numFmtId="166" fontId="14" fillId="2" borderId="3" xfId="2" applyNumberFormat="1" applyFont="1" applyFill="1" applyBorder="1" applyAlignment="1" applyProtection="1">
      <alignment horizontal="center" vertical="center"/>
    </xf>
    <xf numFmtId="0" fontId="14" fillId="2" borderId="8" xfId="1" applyFont="1" applyFill="1" applyBorder="1" applyAlignment="1" applyProtection="1">
      <alignment vertical="center"/>
    </xf>
    <xf numFmtId="0" fontId="14" fillId="0" borderId="6" xfId="1" applyFont="1" applyFill="1" applyBorder="1" applyAlignment="1" applyProtection="1">
      <alignment vertical="center"/>
    </xf>
    <xf numFmtId="168" fontId="14" fillId="2" borderId="3" xfId="1" applyNumberFormat="1" applyFont="1" applyFill="1" applyBorder="1" applyAlignment="1" applyProtection="1">
      <alignment horizontal="center" vertical="center"/>
    </xf>
    <xf numFmtId="0" fontId="14" fillId="2" borderId="0" xfId="1" applyFont="1" applyFill="1" applyAlignment="1" applyProtection="1">
      <alignment horizontal="center" vertical="center"/>
    </xf>
    <xf numFmtId="177" fontId="14" fillId="12" borderId="3" xfId="1" applyNumberFormat="1" applyFont="1" applyFill="1" applyBorder="1" applyAlignment="1" applyProtection="1">
      <alignment horizontal="center" vertical="center"/>
    </xf>
    <xf numFmtId="0" fontId="14" fillId="2" borderId="5" xfId="1" applyFont="1" applyFill="1" applyBorder="1" applyAlignment="1" applyProtection="1">
      <alignment horizontal="center" vertical="center"/>
    </xf>
    <xf numFmtId="0" fontId="14" fillId="2" borderId="6" xfId="1" applyFont="1" applyFill="1" applyBorder="1" applyAlignment="1" applyProtection="1">
      <alignment horizontal="center" vertical="center"/>
    </xf>
    <xf numFmtId="0" fontId="124" fillId="2" borderId="4" xfId="1" applyFont="1" applyFill="1" applyBorder="1" applyAlignment="1" applyProtection="1">
      <alignment horizontal="center" vertical="center"/>
    </xf>
    <xf numFmtId="167" fontId="14" fillId="2" borderId="3" xfId="1" applyNumberFormat="1" applyFont="1" applyFill="1" applyBorder="1" applyAlignment="1" applyProtection="1">
      <alignment horizontal="center" vertical="center"/>
    </xf>
    <xf numFmtId="168" fontId="129" fillId="2" borderId="3" xfId="4" applyNumberFormat="1" applyFont="1" applyFill="1" applyBorder="1" applyAlignment="1" applyProtection="1">
      <alignment horizontal="centerContinuous"/>
    </xf>
    <xf numFmtId="168" fontId="124" fillId="2" borderId="0" xfId="4" applyNumberFormat="1" applyFont="1" applyFill="1" applyAlignment="1" applyProtection="1">
      <alignment horizontal="left"/>
    </xf>
    <xf numFmtId="168" fontId="129" fillId="2" borderId="0" xfId="4" applyNumberFormat="1" applyFont="1" applyFill="1" applyAlignment="1" applyProtection="1">
      <alignment horizontal="left"/>
    </xf>
    <xf numFmtId="0" fontId="124" fillId="0" borderId="4" xfId="1" applyFont="1" applyBorder="1" applyProtection="1">
      <protection locked="0"/>
    </xf>
    <xf numFmtId="0" fontId="124" fillId="0" borderId="4" xfId="1" applyFont="1" applyBorder="1" applyAlignment="1" applyProtection="1">
      <alignment horizontal="center"/>
      <protection locked="0"/>
    </xf>
    <xf numFmtId="0" fontId="124" fillId="0" borderId="4" xfId="3" applyFont="1" applyBorder="1" applyAlignment="1" applyProtection="1">
      <alignment vertical="center"/>
    </xf>
    <xf numFmtId="0" fontId="124" fillId="0" borderId="4" xfId="1" applyFont="1" applyBorder="1" applyAlignment="1" applyProtection="1">
      <alignment horizontal="center"/>
    </xf>
    <xf numFmtId="0" fontId="124" fillId="0" borderId="4" xfId="1" applyFont="1" applyBorder="1" applyAlignment="1" applyProtection="1">
      <alignment horizontal="center" vertical="center"/>
    </xf>
    <xf numFmtId="20" fontId="124" fillId="2" borderId="4" xfId="0" applyNumberFormat="1" applyFont="1" applyFill="1" applyBorder="1" applyAlignment="1" applyProtection="1">
      <alignment horizontal="center" vertical="center"/>
      <protection locked="0"/>
    </xf>
    <xf numFmtId="0" fontId="124" fillId="2" borderId="4" xfId="1" applyFont="1" applyFill="1" applyBorder="1" applyAlignment="1" applyProtection="1">
      <alignment horizontal="center" vertical="center"/>
      <protection locked="0"/>
    </xf>
    <xf numFmtId="0" fontId="124" fillId="0" borderId="4" xfId="1" applyFont="1" applyBorder="1" applyAlignment="1" applyProtection="1">
      <alignment vertical="center"/>
      <protection locked="0"/>
    </xf>
    <xf numFmtId="0" fontId="124" fillId="0" borderId="4" xfId="3" applyFont="1" applyBorder="1" applyProtection="1">
      <protection locked="0"/>
    </xf>
    <xf numFmtId="171" fontId="73" fillId="0" borderId="38" xfId="2" applyNumberFormat="1" applyFont="1" applyFill="1" applyBorder="1" applyAlignment="1" applyProtection="1">
      <alignment vertical="center"/>
    </xf>
    <xf numFmtId="168" fontId="154" fillId="0" borderId="38" xfId="2" applyNumberFormat="1" applyFont="1" applyFill="1" applyBorder="1" applyAlignment="1" applyProtection="1">
      <alignment vertical="center"/>
    </xf>
    <xf numFmtId="0" fontId="14" fillId="2" borderId="4" xfId="1" applyFont="1" applyFill="1" applyBorder="1" applyAlignment="1" applyProtection="1">
      <alignment vertical="center"/>
    </xf>
    <xf numFmtId="0" fontId="59" fillId="2" borderId="8" xfId="1" applyFont="1" applyFill="1" applyBorder="1" applyAlignment="1" applyProtection="1">
      <alignment vertical="center"/>
    </xf>
    <xf numFmtId="0" fontId="4" fillId="2" borderId="0" xfId="1" applyFont="1" applyFill="1" applyBorder="1" applyAlignment="1" applyProtection="1">
      <alignment vertical="center"/>
    </xf>
    <xf numFmtId="0" fontId="14" fillId="0" borderId="15" xfId="1" applyFont="1" applyBorder="1" applyAlignment="1" applyProtection="1">
      <alignment vertical="center"/>
    </xf>
    <xf numFmtId="0" fontId="14" fillId="0" borderId="4" xfId="1" applyFont="1" applyBorder="1" applyAlignment="1" applyProtection="1">
      <alignment horizontal="left" vertical="center"/>
    </xf>
    <xf numFmtId="0" fontId="14" fillId="2" borderId="15" xfId="1" applyFont="1" applyFill="1" applyBorder="1" applyAlignment="1" applyProtection="1">
      <alignment horizontal="center" vertical="center"/>
    </xf>
    <xf numFmtId="0" fontId="129" fillId="2" borderId="19" xfId="4" applyFont="1" applyFill="1" applyBorder="1" applyAlignment="1" applyProtection="1">
      <alignment horizontal="left"/>
    </xf>
    <xf numFmtId="168" fontId="4" fillId="5" borderId="27" xfId="4" applyNumberFormat="1" applyFont="1" applyFill="1" applyBorder="1" applyAlignment="1" applyProtection="1">
      <alignment horizontal="center" vertical="center"/>
    </xf>
    <xf numFmtId="0" fontId="129" fillId="2" borderId="18" xfId="4" applyFont="1" applyFill="1" applyBorder="1" applyAlignment="1" applyProtection="1">
      <alignment horizontal="left"/>
    </xf>
    <xf numFmtId="0" fontId="21" fillId="5" borderId="4" xfId="4" applyNumberFormat="1" applyFont="1" applyFill="1" applyBorder="1" applyAlignment="1" applyProtection="1">
      <alignment horizontal="centerContinuous" vertical="center"/>
    </xf>
    <xf numFmtId="0" fontId="14" fillId="7" borderId="3" xfId="1" applyFont="1" applyFill="1" applyBorder="1" applyAlignment="1" applyProtection="1">
      <alignment horizontal="center" vertical="center"/>
    </xf>
    <xf numFmtId="0" fontId="14" fillId="12" borderId="3" xfId="1" applyFont="1" applyFill="1" applyBorder="1" applyAlignment="1" applyProtection="1">
      <alignment horizontal="center" vertical="center"/>
    </xf>
    <xf numFmtId="0" fontId="41" fillId="0" borderId="1" xfId="1" applyFont="1" applyFill="1" applyBorder="1" applyAlignment="1" applyProtection="1">
      <alignment vertical="top" wrapText="1"/>
    </xf>
    <xf numFmtId="0" fontId="14" fillId="0" borderId="1" xfId="1" applyFont="1" applyFill="1" applyBorder="1" applyAlignment="1" applyProtection="1">
      <alignment vertical="top" wrapText="1"/>
    </xf>
    <xf numFmtId="0" fontId="19" fillId="0" borderId="1" xfId="4" applyFont="1" applyFill="1" applyBorder="1" applyProtection="1"/>
    <xf numFmtId="0" fontId="19" fillId="0" borderId="0" xfId="4" applyFont="1" applyFill="1" applyBorder="1" applyProtection="1"/>
    <xf numFmtId="0" fontId="14" fillId="0" borderId="1" xfId="4" applyFont="1" applyFill="1" applyBorder="1" applyProtection="1"/>
    <xf numFmtId="0" fontId="31" fillId="0" borderId="1" xfId="0" applyFont="1" applyFill="1" applyBorder="1" applyProtection="1"/>
    <xf numFmtId="0" fontId="14" fillId="0" borderId="1"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Alignment="1" applyProtection="1">
      <alignment vertical="center"/>
    </xf>
    <xf numFmtId="0" fontId="14" fillId="0" borderId="1" xfId="1" applyFont="1" applyFill="1" applyBorder="1" applyProtection="1"/>
    <xf numFmtId="167" fontId="14" fillId="0" borderId="0" xfId="1" applyNumberFormat="1" applyFont="1" applyFill="1" applyBorder="1" applyProtection="1"/>
    <xf numFmtId="168" fontId="14" fillId="0" borderId="1" xfId="1" applyNumberFormat="1" applyFont="1" applyFill="1" applyBorder="1" applyAlignment="1" applyProtection="1">
      <alignment vertical="top" wrapText="1"/>
    </xf>
    <xf numFmtId="168" fontId="14" fillId="0" borderId="0" xfId="1" applyNumberFormat="1" applyFont="1" applyFill="1" applyBorder="1" applyProtection="1"/>
    <xf numFmtId="168" fontId="14" fillId="0" borderId="0" xfId="1" applyNumberFormat="1" applyFont="1" applyFill="1" applyProtection="1"/>
    <xf numFmtId="0" fontId="33" fillId="0" borderId="1" xfId="0" applyFont="1" applyFill="1" applyBorder="1" applyAlignment="1" applyProtection="1">
      <alignment horizontal="left" readingOrder="1"/>
      <protection locked="0"/>
    </xf>
    <xf numFmtId="0" fontId="14" fillId="0" borderId="1" xfId="1" applyFont="1" applyFill="1" applyBorder="1" applyAlignment="1" applyProtection="1">
      <alignment horizontal="center" vertical="center"/>
    </xf>
    <xf numFmtId="175" fontId="14" fillId="0" borderId="0" xfId="1" applyNumberFormat="1" applyFont="1" applyFill="1" applyBorder="1" applyAlignment="1" applyProtection="1">
      <alignment horizontal="left"/>
    </xf>
    <xf numFmtId="175" fontId="14" fillId="0" borderId="0" xfId="1" quotePrefix="1" applyNumberFormat="1" applyFont="1" applyFill="1" applyBorder="1" applyAlignment="1" applyProtection="1">
      <alignment horizontal="center"/>
    </xf>
    <xf numFmtId="175" fontId="14" fillId="0" borderId="0" xfId="1" applyNumberFormat="1" applyFont="1" applyFill="1" applyBorder="1" applyProtection="1"/>
    <xf numFmtId="0" fontId="14" fillId="0" borderId="1" xfId="1" applyFont="1" applyFill="1" applyBorder="1" applyAlignment="1" applyProtection="1">
      <alignment horizontal="center" vertical="center" wrapText="1"/>
    </xf>
    <xf numFmtId="171" fontId="14" fillId="0" borderId="1" xfId="1" applyNumberFormat="1" applyFont="1" applyFill="1" applyBorder="1" applyAlignment="1" applyProtection="1">
      <alignment horizontal="center" vertical="center" wrapText="1"/>
    </xf>
    <xf numFmtId="0" fontId="14" fillId="0" borderId="0" xfId="1" applyFont="1" applyFill="1" applyBorder="1" applyAlignment="1" applyProtection="1">
      <alignment horizontal="center"/>
    </xf>
    <xf numFmtId="0" fontId="31" fillId="0" borderId="1" xfId="0" applyFont="1" applyFill="1" applyBorder="1" applyProtection="1">
      <protection locked="0"/>
    </xf>
    <xf numFmtId="0" fontId="31" fillId="0" borderId="0" xfId="0" applyFont="1" applyFill="1" applyBorder="1" applyProtection="1">
      <protection locked="0"/>
    </xf>
    <xf numFmtId="0" fontId="32" fillId="0" borderId="1" xfId="1" applyFont="1" applyFill="1" applyBorder="1" applyProtection="1">
      <protection locked="0"/>
    </xf>
    <xf numFmtId="0" fontId="32" fillId="0" borderId="0" xfId="1" applyFont="1" applyFill="1" applyBorder="1" applyProtection="1">
      <protection locked="0"/>
    </xf>
    <xf numFmtId="0" fontId="32" fillId="0" borderId="2" xfId="1" applyFont="1" applyFill="1" applyBorder="1" applyAlignment="1" applyProtection="1">
      <alignment vertical="top" wrapText="1"/>
      <protection locked="0"/>
    </xf>
    <xf numFmtId="165" fontId="30" fillId="0" borderId="0" xfId="1" applyNumberFormat="1" applyFill="1" applyProtection="1">
      <protection locked="0"/>
    </xf>
    <xf numFmtId="0" fontId="88" fillId="0" borderId="1" xfId="0" applyFont="1" applyFill="1" applyBorder="1" applyAlignment="1" applyProtection="1">
      <alignment horizontal="left" readingOrder="1"/>
      <protection locked="0"/>
    </xf>
    <xf numFmtId="0" fontId="88" fillId="0" borderId="0" xfId="0" applyFont="1" applyFill="1" applyBorder="1" applyAlignment="1" applyProtection="1">
      <alignment horizontal="left" readingOrder="1"/>
      <protection locked="0"/>
    </xf>
    <xf numFmtId="0" fontId="89" fillId="0" borderId="2" xfId="1" applyFont="1" applyFill="1" applyBorder="1" applyAlignment="1" applyProtection="1">
      <alignment vertical="top" wrapText="1"/>
      <protection locked="0"/>
    </xf>
    <xf numFmtId="0" fontId="34" fillId="0" borderId="0" xfId="0" applyFont="1" applyFill="1" applyAlignment="1" applyProtection="1">
      <alignment horizontal="left" wrapText="1" readingOrder="1"/>
      <protection locked="0"/>
    </xf>
    <xf numFmtId="0" fontId="33" fillId="0" borderId="0" xfId="0" applyFont="1" applyFill="1" applyBorder="1" applyAlignment="1" applyProtection="1">
      <alignment horizontal="left" readingOrder="1"/>
      <protection locked="0"/>
    </xf>
    <xf numFmtId="0" fontId="22" fillId="0" borderId="0" xfId="1" applyFont="1" applyFill="1" applyBorder="1" applyAlignment="1" applyProtection="1">
      <alignment vertical="center" wrapText="1"/>
      <protection locked="0"/>
    </xf>
    <xf numFmtId="0" fontId="0" fillId="0" borderId="2" xfId="0" applyFill="1" applyBorder="1" applyAlignment="1" applyProtection="1">
      <alignment wrapText="1"/>
      <protection locked="0"/>
    </xf>
    <xf numFmtId="0" fontId="22" fillId="0" borderId="0" xfId="0" applyFont="1" applyFill="1" applyBorder="1" applyAlignment="1" applyProtection="1">
      <alignment horizontal="left" wrapText="1" readingOrder="1"/>
      <protection locked="0"/>
    </xf>
    <xf numFmtId="0" fontId="2" fillId="0" borderId="2" xfId="0" applyFont="1" applyFill="1" applyBorder="1" applyAlignment="1" applyProtection="1">
      <alignment horizontal="left" wrapText="1" readingOrder="1"/>
      <protection locked="0"/>
    </xf>
    <xf numFmtId="0" fontId="2" fillId="0" borderId="2" xfId="0" applyFont="1" applyFill="1" applyBorder="1" applyAlignment="1" applyProtection="1">
      <alignment horizontal="left" vertical="top" wrapText="1" readingOrder="1"/>
      <protection locked="0"/>
    </xf>
    <xf numFmtId="0" fontId="2" fillId="0" borderId="2" xfId="0" applyFont="1" applyFill="1" applyBorder="1" applyAlignment="1" applyProtection="1">
      <alignment horizontal="left" vertical="center" wrapText="1" readingOrder="1"/>
      <protection locked="0"/>
    </xf>
    <xf numFmtId="0" fontId="30" fillId="0" borderId="0" xfId="1" applyFill="1" applyBorder="1" applyProtection="1">
      <protection locked="0"/>
    </xf>
    <xf numFmtId="0" fontId="38" fillId="0" borderId="0" xfId="0" applyFont="1" applyFill="1" applyBorder="1" applyAlignment="1" applyProtection="1">
      <alignment horizontal="left" vertical="top" wrapText="1"/>
      <protection locked="0"/>
    </xf>
    <xf numFmtId="0" fontId="38" fillId="0" borderId="2" xfId="0" applyFont="1" applyFill="1" applyBorder="1" applyAlignment="1" applyProtection="1">
      <alignment horizontal="left" vertical="top" wrapText="1"/>
      <protection locked="0"/>
    </xf>
    <xf numFmtId="0" fontId="14" fillId="0" borderId="0" xfId="2" applyFont="1" applyFill="1" applyAlignment="1" applyProtection="1">
      <alignment horizontal="left" vertical="center"/>
      <protection locked="0"/>
    </xf>
    <xf numFmtId="0" fontId="35" fillId="0" borderId="0" xfId="2" applyFont="1" applyFill="1" applyAlignment="1" applyProtection="1">
      <alignment vertical="center"/>
      <protection locked="0"/>
    </xf>
    <xf numFmtId="165" fontId="35" fillId="0" borderId="0" xfId="2" applyNumberFormat="1" applyFont="1" applyFill="1" applyAlignment="1" applyProtection="1">
      <alignment vertical="center"/>
      <protection locked="0"/>
    </xf>
    <xf numFmtId="0" fontId="38" fillId="0" borderId="0" xfId="0" applyFont="1" applyFill="1" applyBorder="1" applyAlignment="1" applyProtection="1">
      <alignment horizontal="left" vertical="center" wrapText="1"/>
      <protection locked="0"/>
    </xf>
    <xf numFmtId="0" fontId="14" fillId="0" borderId="0" xfId="2" applyFont="1" applyFill="1" applyProtection="1">
      <protection locked="0"/>
    </xf>
    <xf numFmtId="0" fontId="30" fillId="0" borderId="0" xfId="2" applyFill="1" applyProtection="1">
      <protection locked="0"/>
    </xf>
    <xf numFmtId="165" fontId="30" fillId="0" borderId="0" xfId="2" applyNumberFormat="1" applyFill="1" applyProtection="1">
      <protection locked="0"/>
    </xf>
    <xf numFmtId="0" fontId="21" fillId="0" borderId="1" xfId="0" applyFont="1" applyFill="1" applyBorder="1" applyAlignment="1" applyProtection="1">
      <alignment horizontal="left" vertical="center" wrapText="1"/>
      <protection locked="0"/>
    </xf>
    <xf numFmtId="0" fontId="32" fillId="0" borderId="0" xfId="2" applyFont="1" applyFill="1" applyProtection="1">
      <protection locked="0"/>
    </xf>
    <xf numFmtId="165" fontId="32" fillId="0" borderId="0" xfId="2" applyNumberFormat="1" applyFont="1" applyFill="1" applyProtection="1">
      <protection locked="0"/>
    </xf>
    <xf numFmtId="165" fontId="32" fillId="0" borderId="0" xfId="0" applyNumberFormat="1" applyFont="1" applyFill="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center" wrapText="1"/>
      <protection locked="0"/>
    </xf>
    <xf numFmtId="0" fontId="22" fillId="0" borderId="2" xfId="0" applyFont="1" applyFill="1" applyBorder="1" applyAlignment="1" applyProtection="1">
      <alignment horizontal="left" vertical="center" wrapText="1"/>
      <protection locked="0"/>
    </xf>
    <xf numFmtId="0" fontId="41" fillId="0" borderId="0" xfId="0" applyFont="1" applyFill="1" applyBorder="1" applyProtection="1">
      <protection locked="0"/>
    </xf>
    <xf numFmtId="0" fontId="32" fillId="0" borderId="2" xfId="2" applyFont="1" applyFill="1" applyBorder="1" applyProtection="1">
      <protection locked="0"/>
    </xf>
    <xf numFmtId="0" fontId="22" fillId="0" borderId="2" xfId="1" applyFont="1" applyFill="1" applyBorder="1" applyAlignment="1" applyProtection="1">
      <alignment vertical="top" wrapText="1"/>
      <protection locked="0"/>
    </xf>
    <xf numFmtId="0" fontId="22" fillId="0" borderId="0" xfId="1" applyFont="1" applyFill="1" applyBorder="1" applyAlignment="1" applyProtection="1">
      <alignment vertical="top" wrapText="1"/>
      <protection locked="0"/>
    </xf>
    <xf numFmtId="165" fontId="44" fillId="0" borderId="0" xfId="1" applyNumberFormat="1" applyFont="1" applyFill="1" applyBorder="1" applyAlignment="1" applyProtection="1">
      <alignment horizontal="center"/>
      <protection locked="0"/>
    </xf>
    <xf numFmtId="0" fontId="3" fillId="0" borderId="0" xfId="0" applyFont="1" applyFill="1" applyBorder="1" applyAlignment="1" applyProtection="1">
      <alignment horizontal="left" vertical="top" wrapText="1" readingOrder="1"/>
      <protection locked="0"/>
    </xf>
    <xf numFmtId="165" fontId="30" fillId="0" borderId="0" xfId="1" applyNumberFormat="1" applyFill="1" applyBorder="1" applyAlignment="1" applyProtection="1">
      <alignment horizontal="center"/>
      <protection locked="0"/>
    </xf>
    <xf numFmtId="0" fontId="32" fillId="0" borderId="0" xfId="2" applyFont="1" applyFill="1" applyAlignment="1" applyProtection="1">
      <alignment horizontal="center"/>
      <protection locked="0"/>
    </xf>
    <xf numFmtId="165" fontId="32" fillId="0" borderId="0" xfId="2" applyNumberFormat="1" applyFont="1" applyFill="1" applyAlignment="1" applyProtection="1">
      <alignment horizontal="center"/>
      <protection locked="0"/>
    </xf>
    <xf numFmtId="165" fontId="30" fillId="0" borderId="0" xfId="1" applyNumberFormat="1" applyFill="1" applyAlignment="1" applyProtection="1">
      <alignment horizontal="center"/>
      <protection locked="0"/>
    </xf>
    <xf numFmtId="0" fontId="30" fillId="0" borderId="0" xfId="1" applyFill="1" applyAlignment="1" applyProtection="1">
      <alignment horizontal="center"/>
    </xf>
    <xf numFmtId="0" fontId="93" fillId="0" borderId="1" xfId="1" applyFont="1" applyFill="1" applyBorder="1" applyAlignment="1" applyProtection="1">
      <alignment horizontal="center"/>
      <protection locked="0"/>
    </xf>
    <xf numFmtId="0" fontId="22" fillId="0" borderId="0" xfId="1" applyFont="1" applyFill="1" applyBorder="1" applyAlignment="1" applyProtection="1">
      <alignment vertical="top" readingOrder="1"/>
      <protection locked="0"/>
    </xf>
    <xf numFmtId="0" fontId="22" fillId="0" borderId="1" xfId="1" applyFont="1" applyFill="1" applyBorder="1" applyAlignment="1" applyProtection="1">
      <alignment vertical="top" wrapText="1"/>
      <protection locked="0"/>
    </xf>
    <xf numFmtId="0" fontId="2" fillId="0" borderId="1" xfId="0" applyFont="1" applyFill="1" applyBorder="1" applyAlignment="1" applyProtection="1">
      <alignment horizontal="left" vertical="top" readingOrder="1"/>
      <protection locked="0"/>
    </xf>
    <xf numFmtId="0" fontId="2" fillId="0" borderId="0" xfId="0" applyFont="1" applyFill="1" applyBorder="1" applyAlignment="1" applyProtection="1">
      <alignment horizontal="left" vertical="top" readingOrder="1"/>
      <protection locked="0"/>
    </xf>
    <xf numFmtId="0" fontId="32" fillId="0" borderId="2" xfId="2" applyFont="1" applyFill="1" applyBorder="1" applyAlignment="1" applyProtection="1">
      <alignment wrapText="1" readingOrder="1"/>
      <protection locked="0"/>
    </xf>
    <xf numFmtId="165" fontId="32" fillId="0" borderId="0" xfId="1" applyNumberFormat="1" applyFont="1" applyFill="1" applyProtection="1">
      <protection locked="0"/>
    </xf>
    <xf numFmtId="0" fontId="32" fillId="0" borderId="0" xfId="1" applyFont="1" applyFill="1" applyProtection="1">
      <protection locked="0"/>
    </xf>
    <xf numFmtId="0" fontId="32" fillId="0" borderId="0" xfId="2" applyFont="1" applyFill="1" applyAlignment="1" applyProtection="1">
      <alignment vertical="center"/>
      <protection locked="0"/>
    </xf>
    <xf numFmtId="165" fontId="32" fillId="0" borderId="0" xfId="2" applyNumberFormat="1" applyFont="1" applyFill="1" applyAlignment="1" applyProtection="1">
      <alignment vertical="center"/>
      <protection locked="0"/>
    </xf>
    <xf numFmtId="0" fontId="33" fillId="0" borderId="1" xfId="1" applyFont="1" applyFill="1" applyBorder="1" applyProtection="1">
      <protection locked="0"/>
    </xf>
    <xf numFmtId="171" fontId="32" fillId="0" borderId="0" xfId="2" applyNumberFormat="1" applyFont="1" applyFill="1" applyAlignment="1" applyProtection="1">
      <alignment vertical="center"/>
      <protection locked="0"/>
    </xf>
    <xf numFmtId="0" fontId="22" fillId="0" borderId="0" xfId="1" applyFont="1" applyFill="1" applyBorder="1" applyAlignment="1" applyProtection="1">
      <alignment horizontal="left" vertical="top" wrapText="1"/>
      <protection locked="0"/>
    </xf>
    <xf numFmtId="0" fontId="0" fillId="0" borderId="0" xfId="0" applyFill="1" applyAlignment="1" applyProtection="1">
      <alignment vertical="center"/>
      <protection locked="0"/>
    </xf>
    <xf numFmtId="0" fontId="0" fillId="0" borderId="0" xfId="0" applyFill="1" applyAlignment="1" applyProtection="1">
      <alignment vertical="center"/>
    </xf>
    <xf numFmtId="165" fontId="0" fillId="0" borderId="0" xfId="0" applyNumberFormat="1" applyFill="1" applyAlignment="1" applyProtection="1">
      <alignment vertical="center"/>
      <protection locked="0"/>
    </xf>
    <xf numFmtId="171" fontId="32" fillId="0" borderId="2" xfId="2" applyNumberFormat="1" applyFont="1" applyFill="1" applyBorder="1" applyAlignment="1" applyProtection="1">
      <alignment vertical="center"/>
      <protection locked="0"/>
    </xf>
    <xf numFmtId="0" fontId="30" fillId="0" borderId="0" xfId="1" applyFill="1" applyAlignment="1" applyProtection="1">
      <alignment vertical="center"/>
    </xf>
    <xf numFmtId="165" fontId="30" fillId="0" borderId="0" xfId="1" applyNumberFormat="1" applyFill="1" applyAlignment="1" applyProtection="1">
      <alignment vertical="center"/>
      <protection locked="0"/>
    </xf>
    <xf numFmtId="0" fontId="0" fillId="0" borderId="0" xfId="0" applyFill="1" applyAlignment="1" applyProtection="1">
      <alignment horizontal="center"/>
      <protection locked="0"/>
    </xf>
    <xf numFmtId="165" fontId="0" fillId="0" borderId="0" xfId="0" applyNumberFormat="1" applyFill="1" applyAlignment="1" applyProtection="1">
      <alignment horizontal="center"/>
      <protection locked="0"/>
    </xf>
    <xf numFmtId="0" fontId="0" fillId="0" borderId="0" xfId="0" applyFill="1" applyAlignment="1" applyProtection="1">
      <protection locked="0"/>
    </xf>
    <xf numFmtId="0" fontId="0" fillId="0" borderId="0" xfId="0" applyFill="1" applyAlignment="1" applyProtection="1"/>
    <xf numFmtId="165" fontId="0" fillId="0" borderId="0" xfId="0" applyNumberFormat="1" applyFill="1" applyAlignment="1" applyProtection="1">
      <protection locked="0"/>
    </xf>
    <xf numFmtId="0" fontId="32" fillId="0" borderId="1" xfId="1" applyFont="1" applyFill="1" applyBorder="1" applyAlignment="1" applyProtection="1">
      <alignment horizontal="center"/>
      <protection locked="0"/>
    </xf>
    <xf numFmtId="0" fontId="32" fillId="0" borderId="0" xfId="1" applyFont="1" applyFill="1" applyBorder="1" applyAlignment="1" applyProtection="1">
      <alignment horizontal="center"/>
      <protection locked="0"/>
    </xf>
    <xf numFmtId="171" fontId="32" fillId="0" borderId="2" xfId="2" applyNumberFormat="1" applyFont="1" applyFill="1" applyBorder="1" applyAlignment="1" applyProtection="1">
      <alignment horizontal="center" vertical="center"/>
      <protection locked="0"/>
    </xf>
    <xf numFmtId="171" fontId="32" fillId="0" borderId="0" xfId="2" applyNumberFormat="1" applyFont="1" applyFill="1" applyAlignment="1" applyProtection="1">
      <alignment horizontal="center" vertical="center"/>
      <protection locked="0"/>
    </xf>
    <xf numFmtId="165" fontId="32" fillId="0" borderId="0" xfId="2" applyNumberFormat="1" applyFont="1" applyFill="1" applyAlignment="1" applyProtection="1">
      <alignment horizontal="center" vertical="center"/>
      <protection locked="0"/>
    </xf>
    <xf numFmtId="0" fontId="30" fillId="0" borderId="2" xfId="1" applyFill="1" applyBorder="1" applyProtection="1">
      <protection locked="0"/>
    </xf>
    <xf numFmtId="0" fontId="30" fillId="0" borderId="1" xfId="1" applyFill="1" applyBorder="1" applyProtection="1">
      <protection locked="0"/>
    </xf>
    <xf numFmtId="0" fontId="3" fillId="0" borderId="1" xfId="1" applyFont="1" applyFill="1" applyBorder="1" applyProtection="1">
      <protection locked="0"/>
    </xf>
    <xf numFmtId="0" fontId="14" fillId="0" borderId="0" xfId="1" applyFont="1" applyFill="1" applyBorder="1" applyProtection="1">
      <protection locked="0"/>
    </xf>
    <xf numFmtId="0" fontId="58" fillId="0" borderId="2" xfId="1" applyFont="1" applyFill="1" applyBorder="1" applyAlignment="1" applyProtection="1">
      <alignment wrapText="1"/>
      <protection locked="0"/>
    </xf>
    <xf numFmtId="0" fontId="86" fillId="0" borderId="23" xfId="0" applyFont="1" applyFill="1" applyBorder="1" applyAlignment="1" applyProtection="1">
      <alignment vertical="center"/>
      <protection locked="0"/>
    </xf>
    <xf numFmtId="0" fontId="14" fillId="0" borderId="3" xfId="0" applyFont="1" applyFill="1" applyBorder="1" applyAlignment="1" applyProtection="1">
      <alignment horizontal="center" vertical="center"/>
      <protection locked="0"/>
    </xf>
    <xf numFmtId="171" fontId="14" fillId="0" borderId="3" xfId="0" applyNumberFormat="1" applyFont="1" applyFill="1" applyBorder="1" applyAlignment="1" applyProtection="1">
      <alignment horizontal="center"/>
      <protection locked="0"/>
    </xf>
    <xf numFmtId="173" fontId="14" fillId="0" borderId="3" xfId="0" applyNumberFormat="1" applyFont="1" applyFill="1" applyBorder="1" applyAlignment="1" applyProtection="1">
      <alignment horizontal="center"/>
      <protection locked="0"/>
    </xf>
    <xf numFmtId="0" fontId="14" fillId="0" borderId="2" xfId="1" applyFont="1" applyFill="1" applyBorder="1" applyProtection="1">
      <protection locked="0"/>
    </xf>
    <xf numFmtId="167" fontId="86" fillId="0" borderId="24" xfId="0" applyNumberFormat="1" applyFont="1" applyFill="1" applyBorder="1" applyAlignment="1" applyProtection="1">
      <alignment horizontal="left" vertical="center" wrapText="1"/>
      <protection locked="0"/>
    </xf>
    <xf numFmtId="167" fontId="14" fillId="0" borderId="3" xfId="0" applyNumberFormat="1" applyFont="1" applyFill="1" applyBorder="1" applyAlignment="1" applyProtection="1">
      <alignment horizontal="center" vertical="center" wrapText="1"/>
      <protection locked="0"/>
    </xf>
    <xf numFmtId="185" fontId="4" fillId="0" borderId="3" xfId="0" applyNumberFormat="1" applyFont="1" applyFill="1" applyBorder="1" applyAlignment="1" applyProtection="1">
      <alignment horizontal="center" vertical="center"/>
    </xf>
    <xf numFmtId="171" fontId="14" fillId="0" borderId="2" xfId="0" applyNumberFormat="1" applyFont="1" applyFill="1" applyBorder="1" applyAlignment="1" applyProtection="1">
      <alignment horizontal="center"/>
      <protection locked="0"/>
    </xf>
    <xf numFmtId="0" fontId="58" fillId="0" borderId="1" xfId="1" applyFont="1" applyFill="1" applyBorder="1" applyAlignment="1" applyProtection="1">
      <alignment horizontal="left" vertical="center" wrapText="1"/>
      <protection locked="0"/>
    </xf>
    <xf numFmtId="0" fontId="58" fillId="0" borderId="0" xfId="1" applyFont="1" applyFill="1" applyBorder="1" applyAlignment="1" applyProtection="1">
      <alignment horizontal="left" vertical="center" wrapText="1"/>
      <protection locked="0"/>
    </xf>
    <xf numFmtId="0" fontId="108" fillId="0" borderId="2" xfId="1" applyFont="1" applyFill="1" applyBorder="1" applyAlignment="1" applyProtection="1">
      <alignment horizontal="center"/>
      <protection locked="0"/>
    </xf>
    <xf numFmtId="0" fontId="86" fillId="0" borderId="24" xfId="0" applyFont="1" applyFill="1" applyBorder="1" applyAlignment="1" applyProtection="1">
      <alignment horizontal="left" vertical="center" readingOrder="1"/>
      <protection locked="0"/>
    </xf>
    <xf numFmtId="0" fontId="33" fillId="0" borderId="0" xfId="0" applyFont="1" applyFill="1" applyBorder="1" applyAlignment="1" applyProtection="1">
      <alignment horizontal="left" vertical="center" readingOrder="1"/>
      <protection locked="0"/>
    </xf>
    <xf numFmtId="165" fontId="32" fillId="0" borderId="0" xfId="2" applyNumberFormat="1" applyFont="1" applyFill="1" applyBorder="1" applyAlignment="1" applyProtection="1">
      <alignment vertical="center"/>
      <protection locked="0"/>
    </xf>
    <xf numFmtId="0" fontId="124" fillId="0" borderId="24" xfId="0" applyFont="1" applyFill="1" applyBorder="1" applyAlignment="1" applyProtection="1">
      <alignment vertical="center"/>
      <protection locked="0"/>
    </xf>
    <xf numFmtId="167" fontId="14" fillId="0" borderId="2" xfId="0" applyNumberFormat="1" applyFont="1" applyFill="1" applyBorder="1" applyAlignment="1" applyProtection="1">
      <alignment horizontal="center" vertical="center"/>
      <protection locked="0"/>
    </xf>
    <xf numFmtId="165" fontId="14" fillId="0" borderId="2" xfId="2" applyNumberFormat="1" applyFont="1" applyFill="1" applyBorder="1" applyAlignment="1" applyProtection="1">
      <alignment vertical="center"/>
      <protection locked="0"/>
    </xf>
    <xf numFmtId="0" fontId="87" fillId="0" borderId="5" xfId="0" applyFont="1" applyFill="1" applyBorder="1" applyAlignment="1" applyProtection="1">
      <alignment vertical="center" wrapText="1"/>
      <protection locked="0"/>
    </xf>
    <xf numFmtId="171" fontId="14" fillId="0" borderId="2" xfId="0" applyNumberFormat="1" applyFont="1" applyFill="1" applyBorder="1" applyAlignment="1" applyProtection="1">
      <protection locked="0"/>
    </xf>
    <xf numFmtId="0" fontId="98" fillId="0" borderId="0" xfId="0" applyFont="1" applyFill="1" applyAlignment="1" applyProtection="1">
      <protection locked="0"/>
    </xf>
    <xf numFmtId="0" fontId="124" fillId="0" borderId="36" xfId="0" applyFont="1" applyFill="1" applyBorder="1" applyAlignment="1" applyProtection="1">
      <alignment horizontal="left" vertical="center"/>
      <protection locked="0"/>
    </xf>
    <xf numFmtId="0" fontId="14" fillId="0" borderId="12" xfId="0" applyFont="1" applyFill="1" applyBorder="1" applyAlignment="1" applyProtection="1">
      <alignment horizontal="center" vertical="center"/>
      <protection locked="0"/>
    </xf>
    <xf numFmtId="182" fontId="22" fillId="0" borderId="10" xfId="0" applyNumberFormat="1" applyFont="1" applyFill="1" applyBorder="1" applyAlignment="1" applyProtection="1">
      <alignment horizontal="center" vertical="center"/>
    </xf>
    <xf numFmtId="173" fontId="14" fillId="0" borderId="2" xfId="0" applyNumberFormat="1" applyFont="1" applyFill="1" applyBorder="1" applyAlignment="1" applyProtection="1">
      <alignment horizontal="center" vertical="center"/>
      <protection locked="0"/>
    </xf>
    <xf numFmtId="165" fontId="30" fillId="0" borderId="0" xfId="1" applyNumberFormat="1" applyFill="1" applyAlignment="1" applyProtection="1">
      <alignment horizontal="center" vertical="center"/>
      <protection locked="0"/>
    </xf>
    <xf numFmtId="0" fontId="30" fillId="0" borderId="0" xfId="1" applyFill="1" applyAlignment="1" applyProtection="1">
      <alignment horizontal="center" vertical="center"/>
    </xf>
    <xf numFmtId="0" fontId="14" fillId="0" borderId="6" xfId="0" applyFont="1" applyFill="1" applyBorder="1" applyAlignment="1" applyProtection="1">
      <alignment horizontal="center" vertical="center"/>
      <protection locked="0"/>
    </xf>
    <xf numFmtId="182" fontId="22" fillId="0" borderId="3" xfId="0" applyNumberFormat="1" applyFont="1" applyFill="1" applyBorder="1" applyAlignment="1" applyProtection="1">
      <alignment horizontal="center" vertical="center"/>
    </xf>
    <xf numFmtId="173" fontId="14" fillId="0" borderId="2" xfId="0" applyNumberFormat="1" applyFont="1" applyFill="1" applyBorder="1" applyAlignment="1" applyProtection="1">
      <protection locked="0"/>
    </xf>
    <xf numFmtId="0" fontId="37" fillId="0" borderId="0" xfId="0" applyFont="1" applyFill="1" applyProtection="1">
      <protection locked="0"/>
    </xf>
    <xf numFmtId="184" fontId="100" fillId="0" borderId="0" xfId="0" applyNumberFormat="1" applyFont="1" applyFill="1" applyAlignment="1" applyProtection="1">
      <alignment horizontal="center" wrapText="1"/>
    </xf>
    <xf numFmtId="184" fontId="0" fillId="0" borderId="0" xfId="0" applyNumberFormat="1" applyFont="1" applyFill="1" applyAlignment="1" applyProtection="1">
      <alignment horizontal="center"/>
    </xf>
    <xf numFmtId="0" fontId="87" fillId="0" borderId="2" xfId="0" applyFont="1" applyFill="1" applyBorder="1" applyAlignment="1" applyProtection="1">
      <alignment vertical="center" wrapText="1"/>
      <protection locked="0"/>
    </xf>
    <xf numFmtId="0" fontId="29" fillId="0" borderId="0" xfId="0" applyFont="1" applyFill="1" applyProtection="1">
      <protection locked="0"/>
    </xf>
    <xf numFmtId="0" fontId="4" fillId="0" borderId="0" xfId="0" applyFont="1" applyFill="1" applyProtection="1">
      <protection locked="0"/>
    </xf>
    <xf numFmtId="0" fontId="99" fillId="0" borderId="0" xfId="0" applyFont="1" applyFill="1" applyAlignment="1" applyProtection="1">
      <alignment horizontal="center"/>
      <protection locked="0"/>
    </xf>
    <xf numFmtId="0" fontId="37" fillId="0" borderId="0" xfId="0" applyFont="1" applyFill="1" applyAlignment="1" applyProtection="1">
      <alignment horizontal="center"/>
      <protection locked="0"/>
    </xf>
    <xf numFmtId="0" fontId="124" fillId="0" borderId="24" xfId="0" applyFont="1" applyFill="1" applyBorder="1" applyAlignment="1" applyProtection="1">
      <protection locked="0"/>
    </xf>
    <xf numFmtId="0" fontId="14" fillId="0" borderId="3" xfId="0" applyFont="1" applyFill="1" applyBorder="1" applyAlignment="1" applyProtection="1">
      <alignment horizontal="center"/>
      <protection locked="0"/>
    </xf>
    <xf numFmtId="182" fontId="22" fillId="0" borderId="3" xfId="0" applyNumberFormat="1" applyFont="1" applyFill="1" applyBorder="1" applyAlignment="1" applyProtection="1">
      <alignment horizontal="center"/>
    </xf>
    <xf numFmtId="182" fontId="22" fillId="0" borderId="2" xfId="0" applyNumberFormat="1" applyFont="1" applyFill="1" applyBorder="1" applyProtection="1">
      <protection locked="0"/>
    </xf>
    <xf numFmtId="184" fontId="29" fillId="0" borderId="0" xfId="0" applyNumberFormat="1" applyFont="1" applyFill="1" applyProtection="1">
      <protection locked="0"/>
    </xf>
    <xf numFmtId="184" fontId="29" fillId="0" borderId="0" xfId="0" applyNumberFormat="1" applyFont="1" applyFill="1" applyAlignment="1" applyProtection="1">
      <alignment horizontal="center"/>
      <protection locked="0"/>
    </xf>
    <xf numFmtId="0" fontId="86" fillId="0" borderId="1" xfId="1" applyFont="1" applyFill="1" applyBorder="1" applyAlignment="1" applyProtection="1">
      <alignment vertical="center"/>
      <protection locked="0"/>
    </xf>
    <xf numFmtId="0" fontId="30" fillId="0" borderId="0" xfId="1" applyFill="1" applyBorder="1" applyAlignment="1" applyProtection="1">
      <alignment vertical="center"/>
      <protection locked="0"/>
    </xf>
    <xf numFmtId="0" fontId="68" fillId="0" borderId="0" xfId="1" applyFont="1" applyFill="1" applyBorder="1" applyAlignment="1" applyProtection="1">
      <alignment horizontal="center"/>
      <protection locked="0"/>
    </xf>
    <xf numFmtId="175" fontId="124" fillId="0" borderId="24" xfId="0" applyNumberFormat="1" applyFont="1" applyFill="1" applyBorder="1" applyAlignment="1" applyProtection="1">
      <alignment vertical="center"/>
      <protection locked="0"/>
    </xf>
    <xf numFmtId="166" fontId="22" fillId="0" borderId="3" xfId="0" applyNumberFormat="1" applyFont="1" applyFill="1" applyBorder="1" applyAlignment="1" applyProtection="1">
      <alignment horizontal="center"/>
    </xf>
    <xf numFmtId="175" fontId="129" fillId="0" borderId="24" xfId="0" applyNumberFormat="1" applyFont="1" applyFill="1" applyBorder="1" applyAlignment="1" applyProtection="1">
      <alignment vertical="center"/>
      <protection locked="0"/>
    </xf>
    <xf numFmtId="183" fontId="21" fillId="0" borderId="3" xfId="0" applyNumberFormat="1" applyFont="1" applyFill="1" applyBorder="1" applyAlignment="1" applyProtection="1">
      <alignment horizontal="center" vertical="center"/>
    </xf>
    <xf numFmtId="0" fontId="22" fillId="0" borderId="1" xfId="1" applyFont="1" applyFill="1" applyBorder="1" applyAlignment="1" applyProtection="1">
      <alignment horizontal="left" vertical="top" wrapText="1"/>
      <protection locked="0"/>
    </xf>
    <xf numFmtId="0" fontId="14" fillId="0" borderId="0" xfId="0" applyFont="1" applyFill="1" applyBorder="1" applyProtection="1">
      <protection locked="0"/>
    </xf>
    <xf numFmtId="0" fontId="22" fillId="0" borderId="2" xfId="1"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center" readingOrder="1"/>
    </xf>
    <xf numFmtId="0" fontId="20" fillId="0" borderId="0" xfId="1" applyFont="1" applyFill="1" applyBorder="1" applyAlignment="1" applyProtection="1">
      <alignment vertical="top" wrapText="1"/>
      <protection locked="0"/>
    </xf>
    <xf numFmtId="0" fontId="4" fillId="0" borderId="0" xfId="0" applyFont="1" applyFill="1" applyAlignment="1" applyProtection="1">
      <alignment horizontal="center"/>
      <protection locked="0"/>
    </xf>
    <xf numFmtId="0" fontId="20" fillId="0" borderId="2" xfId="1" applyFont="1" applyFill="1" applyBorder="1" applyAlignment="1" applyProtection="1">
      <alignment vertical="top" wrapText="1"/>
      <protection locked="0"/>
    </xf>
    <xf numFmtId="184" fontId="29" fillId="0" borderId="0" xfId="0" applyNumberFormat="1" applyFont="1" applyFill="1" applyProtection="1"/>
    <xf numFmtId="184" fontId="29" fillId="0" borderId="0" xfId="0" applyNumberFormat="1" applyFont="1" applyFill="1" applyAlignment="1" applyProtection="1">
      <alignment horizontal="center"/>
    </xf>
    <xf numFmtId="171" fontId="14" fillId="0" borderId="0" xfId="0" applyNumberFormat="1" applyFont="1" applyFill="1" applyBorder="1" applyAlignment="1" applyProtection="1">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horizontal="center"/>
      <protection locked="0"/>
    </xf>
    <xf numFmtId="171" fontId="32" fillId="0" borderId="0" xfId="2" quotePrefix="1" applyNumberFormat="1" applyFont="1" applyFill="1" applyAlignment="1" applyProtection="1">
      <alignment horizontal="center" vertical="center"/>
      <protection locked="0"/>
    </xf>
    <xf numFmtId="0" fontId="0" fillId="0" borderId="2" xfId="0" applyFill="1" applyBorder="1" applyAlignment="1" applyProtection="1">
      <alignment vertical="center"/>
      <protection locked="0"/>
    </xf>
    <xf numFmtId="0" fontId="0" fillId="0" borderId="1" xfId="0" applyFill="1" applyBorder="1" applyAlignment="1" applyProtection="1">
      <alignment vertical="center"/>
      <protection locked="0"/>
    </xf>
    <xf numFmtId="0" fontId="0" fillId="0" borderId="2"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0" xfId="0" applyFill="1" applyBorder="1" applyAlignment="1" applyProtection="1">
      <alignment vertical="top" wrapText="1"/>
      <protection locked="0"/>
    </xf>
    <xf numFmtId="0" fontId="0" fillId="0" borderId="2" xfId="0" applyFill="1" applyBorder="1" applyAlignment="1" applyProtection="1">
      <alignment vertical="top" wrapText="1"/>
      <protection locked="0"/>
    </xf>
    <xf numFmtId="0" fontId="33" fillId="0" borderId="1" xfId="0" applyFont="1" applyFill="1" applyBorder="1" applyAlignment="1" applyProtection="1">
      <alignment horizontal="left" vertical="center" readingOrder="1"/>
      <protection locked="0"/>
    </xf>
    <xf numFmtId="0" fontId="0" fillId="0" borderId="1" xfId="0" applyFill="1" applyBorder="1" applyAlignment="1" applyProtection="1">
      <alignment vertical="top" wrapText="1"/>
      <protection locked="0"/>
    </xf>
    <xf numFmtId="168" fontId="19" fillId="0" borderId="0" xfId="4" applyNumberFormat="1" applyFont="1" applyFill="1" applyProtection="1"/>
    <xf numFmtId="168" fontId="19" fillId="0" borderId="0" xfId="4" applyNumberFormat="1" applyFont="1" applyFill="1" applyBorder="1" applyAlignment="1" applyProtection="1">
      <alignment horizontal="centerContinuous" vertical="center"/>
    </xf>
    <xf numFmtId="168" fontId="19" fillId="0" borderId="0" xfId="4" applyNumberFormat="1" applyFont="1" applyFill="1" applyAlignment="1" applyProtection="1">
      <alignment vertical="center"/>
    </xf>
    <xf numFmtId="168" fontId="4" fillId="0" borderId="0" xfId="4" applyNumberFormat="1" applyFont="1" applyFill="1" applyProtection="1"/>
    <xf numFmtId="0" fontId="31" fillId="0" borderId="0" xfId="0" applyFont="1" applyFill="1" applyBorder="1" applyProtection="1"/>
    <xf numFmtId="168" fontId="62" fillId="0" borderId="0" xfId="4" applyNumberFormat="1" applyFont="1" applyFill="1" applyProtection="1"/>
    <xf numFmtId="0" fontId="26" fillId="0" borderId="0" xfId="0" applyFont="1" applyFill="1" applyProtection="1"/>
    <xf numFmtId="0" fontId="62" fillId="0" borderId="0" xfId="0" applyFont="1" applyFill="1" applyProtection="1"/>
    <xf numFmtId="168" fontId="66" fillId="0" borderId="0" xfId="4" applyNumberFormat="1" applyFont="1" applyFill="1" applyAlignment="1" applyProtection="1">
      <alignment horizontal="center"/>
    </xf>
    <xf numFmtId="0" fontId="2" fillId="0" borderId="0" xfId="0" applyFont="1" applyFill="1" applyAlignment="1" applyProtection="1"/>
    <xf numFmtId="0" fontId="110" fillId="0" borderId="0" xfId="0" applyFont="1" applyFill="1" applyProtection="1"/>
    <xf numFmtId="171" fontId="66" fillId="0" borderId="0" xfId="1" applyNumberFormat="1" applyFont="1" applyFill="1" applyBorder="1" applyProtection="1"/>
    <xf numFmtId="0" fontId="66" fillId="0" borderId="0" xfId="4" applyFont="1" applyFill="1" applyBorder="1" applyAlignment="1" applyProtection="1">
      <alignment horizontal="center" vertical="center" wrapText="1"/>
    </xf>
    <xf numFmtId="168" fontId="66" fillId="0" borderId="0" xfId="4" applyNumberFormat="1" applyFont="1" applyFill="1" applyBorder="1" applyAlignment="1" applyProtection="1">
      <alignment horizontal="center" vertical="center" wrapText="1"/>
    </xf>
    <xf numFmtId="0" fontId="14" fillId="0" borderId="0" xfId="0" applyFont="1" applyFill="1" applyProtection="1"/>
    <xf numFmtId="0" fontId="94" fillId="0" borderId="0" xfId="0" applyFont="1" applyFill="1" applyProtection="1"/>
    <xf numFmtId="0" fontId="66" fillId="0" borderId="0" xfId="0" applyFont="1" applyFill="1" applyAlignment="1" applyProtection="1">
      <alignment vertical="center"/>
    </xf>
    <xf numFmtId="0" fontId="94" fillId="0" borderId="0" xfId="0" applyFont="1" applyFill="1" applyAlignment="1" applyProtection="1">
      <alignment vertical="center"/>
    </xf>
    <xf numFmtId="171" fontId="66" fillId="0" borderId="0" xfId="3" applyNumberFormat="1" applyFont="1" applyFill="1" applyBorder="1" applyProtection="1"/>
    <xf numFmtId="0" fontId="66" fillId="0" borderId="0" xfId="4" applyFont="1" applyFill="1" applyProtection="1"/>
    <xf numFmtId="168" fontId="20" fillId="0" borderId="17" xfId="4" applyNumberFormat="1" applyFont="1" applyFill="1" applyBorder="1" applyAlignment="1" applyProtection="1">
      <alignment horizontal="left" vertical="center" wrapText="1" indent="1"/>
    </xf>
    <xf numFmtId="0" fontId="66" fillId="0" borderId="0" xfId="0" applyFont="1" applyFill="1" applyAlignment="1" applyProtection="1">
      <alignment horizontal="left" vertical="center" wrapText="1" indent="1"/>
    </xf>
    <xf numFmtId="0" fontId="69" fillId="0" borderId="0" xfId="0" applyFont="1" applyFill="1" applyAlignment="1" applyProtection="1">
      <alignment horizontal="right"/>
    </xf>
    <xf numFmtId="0" fontId="70" fillId="0" borderId="0" xfId="0" applyFont="1" applyFill="1" applyAlignment="1" applyProtection="1">
      <alignment horizontal="left" wrapText="1" readingOrder="1"/>
    </xf>
    <xf numFmtId="0" fontId="20" fillId="0" borderId="17" xfId="0" applyFont="1" applyFill="1" applyBorder="1" applyAlignment="1" applyProtection="1">
      <alignment horizontal="left" vertical="center" wrapText="1" indent="1"/>
    </xf>
    <xf numFmtId="0" fontId="124" fillId="0" borderId="0" xfId="0" applyFont="1" applyFill="1" applyBorder="1" applyProtection="1"/>
    <xf numFmtId="0" fontId="131" fillId="0" borderId="0" xfId="0" applyFont="1" applyFill="1" applyAlignment="1" applyProtection="1">
      <alignment horizontal="left" wrapText="1" readingOrder="1"/>
    </xf>
    <xf numFmtId="0" fontId="20" fillId="0" borderId="0" xfId="0" applyFont="1" applyFill="1" applyBorder="1" applyAlignment="1" applyProtection="1">
      <alignment horizontal="left" vertical="center" wrapText="1" indent="1"/>
    </xf>
    <xf numFmtId="0" fontId="131" fillId="0" borderId="0" xfId="0" applyFont="1" applyFill="1" applyProtection="1"/>
    <xf numFmtId="0" fontId="124" fillId="0" borderId="0" xfId="4" applyFont="1" applyFill="1" applyProtection="1"/>
    <xf numFmtId="0" fontId="34" fillId="0" borderId="0" xfId="0" applyFont="1" applyFill="1" applyAlignment="1" applyProtection="1">
      <alignment horizontal="left" readingOrder="1"/>
    </xf>
    <xf numFmtId="0" fontId="20" fillId="0" borderId="0" xfId="4" applyFont="1" applyFill="1" applyProtection="1"/>
    <xf numFmtId="168" fontId="124" fillId="0" borderId="0" xfId="4" applyNumberFormat="1" applyFont="1" applyFill="1" applyProtection="1"/>
    <xf numFmtId="0" fontId="20" fillId="0" borderId="0" xfId="4" applyFont="1" applyFill="1" applyBorder="1" applyProtection="1"/>
    <xf numFmtId="168" fontId="124" fillId="0" borderId="0" xfId="4" applyNumberFormat="1" applyFont="1" applyFill="1" applyBorder="1" applyProtection="1"/>
    <xf numFmtId="0" fontId="124" fillId="0" borderId="0" xfId="4" applyFont="1" applyFill="1" applyBorder="1" applyProtection="1"/>
    <xf numFmtId="0" fontId="30" fillId="0" borderId="0" xfId="4" applyFill="1" applyBorder="1" applyProtection="1"/>
    <xf numFmtId="0" fontId="84" fillId="0" borderId="0" xfId="4" applyFont="1" applyFill="1" applyAlignment="1" applyProtection="1">
      <alignment vertical="center"/>
    </xf>
    <xf numFmtId="0" fontId="124" fillId="0" borderId="0" xfId="0" applyFont="1" applyFill="1" applyBorder="1" applyAlignment="1" applyProtection="1">
      <alignment horizontal="left"/>
    </xf>
    <xf numFmtId="0" fontId="134" fillId="0" borderId="0" xfId="0" applyFont="1" applyFill="1" applyAlignment="1" applyProtection="1">
      <alignment vertical="center" wrapText="1"/>
    </xf>
    <xf numFmtId="0" fontId="50" fillId="0" borderId="0" xfId="0" applyFont="1" applyFill="1" applyAlignment="1" applyProtection="1">
      <alignment vertical="center" wrapText="1"/>
    </xf>
    <xf numFmtId="0" fontId="2" fillId="0" borderId="0" xfId="4" applyFont="1" applyFill="1" applyAlignment="1" applyProtection="1">
      <alignment vertical="center"/>
    </xf>
    <xf numFmtId="0" fontId="38" fillId="0" borderId="0" xfId="0" applyFont="1" applyFill="1" applyAlignment="1" applyProtection="1">
      <alignment vertical="center" wrapText="1"/>
    </xf>
    <xf numFmtId="168" fontId="38" fillId="0" borderId="0" xfId="4" applyNumberFormat="1" applyFont="1" applyFill="1" applyAlignment="1" applyProtection="1">
      <alignment horizontal="left" vertical="center" wrapText="1"/>
    </xf>
    <xf numFmtId="0" fontId="34" fillId="0" borderId="0" xfId="0" applyFont="1" applyFill="1" applyAlignment="1" applyProtection="1">
      <alignment horizontal="left" wrapText="1" readingOrder="1"/>
    </xf>
    <xf numFmtId="168" fontId="58" fillId="0" borderId="0" xfId="4" applyNumberFormat="1" applyFont="1" applyFill="1" applyProtection="1"/>
    <xf numFmtId="168" fontId="2" fillId="0" borderId="0" xfId="4" applyNumberFormat="1" applyFont="1" applyFill="1" applyProtection="1"/>
    <xf numFmtId="0" fontId="2" fillId="0" borderId="0" xfId="4" applyFont="1" applyFill="1" applyProtection="1"/>
    <xf numFmtId="0" fontId="58" fillId="0" borderId="0" xfId="4" applyFont="1" applyFill="1" applyProtection="1"/>
    <xf numFmtId="0" fontId="29" fillId="0" borderId="0" xfId="4" applyFont="1" applyFill="1" applyBorder="1" applyProtection="1"/>
    <xf numFmtId="0" fontId="0" fillId="0" borderId="0" xfId="4" applyFont="1" applyFill="1" applyBorder="1" applyProtection="1"/>
    <xf numFmtId="0" fontId="0" fillId="0" borderId="0" xfId="4" applyFont="1" applyFill="1" applyProtection="1"/>
    <xf numFmtId="0" fontId="73" fillId="0" borderId="0" xfId="4" applyFont="1" applyFill="1" applyBorder="1" applyProtection="1"/>
    <xf numFmtId="0" fontId="0" fillId="0" borderId="0" xfId="4" applyFont="1" applyFill="1" applyBorder="1" applyAlignment="1" applyProtection="1">
      <alignment horizontal="center"/>
    </xf>
    <xf numFmtId="168" fontId="22" fillId="0" borderId="0" xfId="4" applyNumberFormat="1" applyFont="1" applyFill="1" applyProtection="1"/>
    <xf numFmtId="168" fontId="0" fillId="0" borderId="0" xfId="4" applyNumberFormat="1" applyFont="1" applyFill="1" applyBorder="1" applyProtection="1"/>
    <xf numFmtId="0" fontId="85" fillId="0" borderId="0" xfId="4" applyFont="1" applyFill="1" applyBorder="1" applyProtection="1"/>
    <xf numFmtId="0" fontId="84" fillId="0" borderId="0" xfId="4" applyFont="1" applyFill="1" applyProtection="1"/>
    <xf numFmtId="0" fontId="85" fillId="0" borderId="0" xfId="4" applyFont="1" applyFill="1" applyBorder="1" applyAlignment="1" applyProtection="1">
      <alignment vertical="center"/>
    </xf>
    <xf numFmtId="0" fontId="94" fillId="0" borderId="0" xfId="4" applyFont="1" applyFill="1" applyBorder="1" applyAlignment="1" applyProtection="1">
      <alignment horizontal="center" vertical="top"/>
    </xf>
    <xf numFmtId="168" fontId="29" fillId="0" borderId="0" xfId="4" applyNumberFormat="1" applyFont="1" applyFill="1" applyBorder="1" applyAlignment="1" applyProtection="1">
      <alignment vertical="center"/>
    </xf>
    <xf numFmtId="0" fontId="29" fillId="0" borderId="0" xfId="4" applyFont="1" applyFill="1" applyAlignment="1" applyProtection="1">
      <alignment vertical="center"/>
    </xf>
    <xf numFmtId="168" fontId="83" fillId="0" borderId="0" xfId="4" applyNumberFormat="1" applyFont="1" applyFill="1" applyProtection="1"/>
    <xf numFmtId="168" fontId="29" fillId="0" borderId="0" xfId="4" applyNumberFormat="1" applyFont="1" applyFill="1" applyProtection="1"/>
    <xf numFmtId="168" fontId="94" fillId="0" borderId="0" xfId="4" applyNumberFormat="1" applyFont="1" applyFill="1" applyProtection="1"/>
    <xf numFmtId="0" fontId="29" fillId="0" borderId="0" xfId="4" applyFont="1" applyFill="1" applyProtection="1"/>
    <xf numFmtId="168" fontId="109" fillId="0" borderId="0" xfId="4" applyNumberFormat="1" applyFont="1" applyFill="1" applyProtection="1"/>
    <xf numFmtId="168" fontId="32" fillId="0" borderId="0" xfId="4" applyNumberFormat="1" applyFont="1" applyFill="1" applyAlignment="1" applyProtection="1">
      <alignment vertical="center"/>
    </xf>
    <xf numFmtId="168" fontId="83" fillId="0" borderId="0" xfId="4" applyNumberFormat="1" applyFont="1" applyFill="1" applyAlignment="1" applyProtection="1">
      <alignment vertical="center"/>
    </xf>
    <xf numFmtId="0" fontId="111" fillId="0" borderId="0" xfId="1" applyFont="1" applyFill="1" applyBorder="1" applyAlignment="1" applyProtection="1">
      <alignment horizontal="center"/>
    </xf>
    <xf numFmtId="172" fontId="22" fillId="0" borderId="1" xfId="2" applyNumberFormat="1" applyFont="1" applyFill="1" applyBorder="1" applyAlignment="1" applyProtection="1"/>
    <xf numFmtId="0" fontId="14" fillId="0" borderId="0" xfId="1" applyFont="1" applyFill="1" applyAlignment="1" applyProtection="1">
      <alignment horizontal="right"/>
    </xf>
    <xf numFmtId="0" fontId="30" fillId="0" borderId="0" xfId="1" applyFill="1" applyBorder="1" applyAlignment="1" applyProtection="1">
      <alignment horizontal="center"/>
    </xf>
    <xf numFmtId="0" fontId="74" fillId="0" borderId="1" xfId="0" applyFont="1" applyFill="1" applyBorder="1" applyProtection="1"/>
    <xf numFmtId="0" fontId="74" fillId="0" borderId="0" xfId="0" applyFont="1" applyFill="1" applyProtection="1"/>
    <xf numFmtId="0" fontId="41" fillId="0" borderId="0" xfId="3" applyFont="1" applyFill="1" applyAlignment="1" applyProtection="1">
      <alignment vertical="top" wrapText="1"/>
    </xf>
    <xf numFmtId="0" fontId="41" fillId="0" borderId="0" xfId="3" applyFont="1" applyFill="1" applyProtection="1"/>
    <xf numFmtId="0" fontId="40" fillId="0" borderId="1" xfId="3" applyFont="1" applyFill="1" applyBorder="1" applyAlignment="1" applyProtection="1">
      <alignment vertical="center"/>
    </xf>
    <xf numFmtId="0" fontId="32" fillId="0" borderId="1" xfId="3" applyFont="1" applyFill="1" applyBorder="1" applyProtection="1"/>
    <xf numFmtId="0" fontId="4" fillId="0" borderId="0" xfId="4" applyNumberFormat="1" applyFont="1" applyFill="1" applyBorder="1" applyAlignment="1" applyProtection="1">
      <alignment horizontal="centerContinuous" vertical="center"/>
    </xf>
    <xf numFmtId="168" fontId="19" fillId="0" borderId="1" xfId="4" applyNumberFormat="1" applyFont="1" applyFill="1" applyBorder="1" applyAlignment="1" applyProtection="1">
      <alignment vertical="center"/>
    </xf>
    <xf numFmtId="0" fontId="14" fillId="0" borderId="1" xfId="3" applyFont="1" applyFill="1" applyBorder="1" applyProtection="1"/>
    <xf numFmtId="0" fontId="14" fillId="0" borderId="0" xfId="1" applyFont="1" applyFill="1" applyBorder="1" applyAlignment="1" applyProtection="1">
      <alignment horizontal="center" vertical="center" wrapText="1"/>
    </xf>
    <xf numFmtId="167" fontId="14" fillId="0" borderId="0" xfId="3" applyNumberFormat="1" applyFont="1" applyFill="1" applyBorder="1" applyAlignment="1" applyProtection="1"/>
    <xf numFmtId="180" fontId="14" fillId="0" borderId="0" xfId="3" applyNumberFormat="1" applyFont="1" applyFill="1" applyBorder="1" applyAlignment="1" applyProtection="1"/>
    <xf numFmtId="0" fontId="4" fillId="0" borderId="1" xfId="3" applyFont="1" applyFill="1" applyBorder="1" applyProtection="1"/>
    <xf numFmtId="0" fontId="4" fillId="0" borderId="0" xfId="3" applyFont="1" applyFill="1" applyProtection="1"/>
    <xf numFmtId="168" fontId="14" fillId="0" borderId="1" xfId="3" applyNumberFormat="1" applyFont="1" applyFill="1" applyBorder="1" applyProtection="1"/>
    <xf numFmtId="175" fontId="14" fillId="0" borderId="0" xfId="3" applyNumberFormat="1" applyFont="1" applyFill="1" applyBorder="1" applyProtection="1"/>
    <xf numFmtId="0" fontId="75" fillId="0" borderId="1" xfId="2" applyFont="1" applyFill="1" applyBorder="1" applyProtection="1"/>
    <xf numFmtId="0" fontId="41" fillId="0" borderId="2" xfId="2" applyFont="1" applyFill="1" applyBorder="1" applyProtection="1"/>
    <xf numFmtId="0" fontId="41" fillId="0" borderId="1" xfId="2" applyFont="1" applyFill="1" applyBorder="1" applyProtection="1"/>
    <xf numFmtId="0" fontId="41" fillId="0" borderId="0" xfId="2" applyFont="1" applyFill="1" applyProtection="1"/>
    <xf numFmtId="0" fontId="4" fillId="0" borderId="1" xfId="2" applyFont="1" applyFill="1" applyBorder="1" applyAlignment="1" applyProtection="1">
      <alignment vertical="center"/>
    </xf>
    <xf numFmtId="168" fontId="19" fillId="0" borderId="1" xfId="4" applyNumberFormat="1" applyFont="1" applyFill="1" applyBorder="1" applyProtection="1"/>
    <xf numFmtId="0" fontId="35" fillId="0" borderId="2" xfId="2" applyFont="1" applyFill="1" applyBorder="1" applyAlignment="1" applyProtection="1">
      <alignment vertical="center"/>
    </xf>
    <xf numFmtId="0" fontId="4" fillId="0" borderId="0" xfId="2" applyFont="1" applyFill="1" applyAlignment="1" applyProtection="1">
      <alignment vertical="center"/>
    </xf>
    <xf numFmtId="0" fontId="30" fillId="0" borderId="1" xfId="2" applyFill="1" applyBorder="1" applyProtection="1"/>
    <xf numFmtId="0" fontId="30" fillId="0" borderId="2" xfId="2" applyFill="1" applyBorder="1" applyProtection="1"/>
    <xf numFmtId="0" fontId="4" fillId="0" borderId="1" xfId="2" applyFont="1" applyFill="1" applyBorder="1" applyProtection="1"/>
    <xf numFmtId="0" fontId="14" fillId="0" borderId="0" xfId="2" applyFont="1" applyFill="1" applyProtection="1"/>
    <xf numFmtId="0" fontId="14" fillId="0" borderId="2" xfId="2" applyFont="1" applyFill="1" applyBorder="1" applyProtection="1"/>
    <xf numFmtId="0" fontId="14" fillId="0" borderId="1" xfId="2" applyFont="1" applyFill="1" applyBorder="1" applyProtection="1"/>
    <xf numFmtId="0" fontId="32" fillId="0" borderId="1" xfId="2" applyFont="1" applyFill="1" applyBorder="1" applyProtection="1"/>
    <xf numFmtId="0" fontId="14" fillId="0" borderId="1" xfId="2" applyFont="1" applyFill="1" applyBorder="1" applyAlignment="1" applyProtection="1">
      <alignment wrapText="1"/>
    </xf>
    <xf numFmtId="0" fontId="14" fillId="0" borderId="2" xfId="2" applyFont="1" applyFill="1" applyBorder="1" applyAlignment="1" applyProtection="1"/>
    <xf numFmtId="0" fontId="14" fillId="0" borderId="1" xfId="2" applyFont="1" applyFill="1" applyBorder="1" applyAlignment="1" applyProtection="1"/>
    <xf numFmtId="0" fontId="14" fillId="0" borderId="0" xfId="2" applyFont="1" applyFill="1" applyAlignment="1" applyProtection="1"/>
    <xf numFmtId="0" fontId="14" fillId="0" borderId="1" xfId="2" applyFont="1" applyFill="1" applyBorder="1" applyAlignment="1" applyProtection="1">
      <alignment vertical="top" wrapText="1"/>
    </xf>
    <xf numFmtId="0" fontId="31" fillId="0" borderId="1" xfId="0" applyFont="1" applyFill="1" applyBorder="1" applyAlignment="1" applyProtection="1">
      <alignment vertical="top"/>
    </xf>
    <xf numFmtId="0" fontId="33" fillId="0" borderId="1" xfId="0" applyFont="1" applyFill="1" applyBorder="1" applyAlignment="1">
      <alignment horizontal="left" vertical="center" readingOrder="1"/>
    </xf>
    <xf numFmtId="0" fontId="14" fillId="0" borderId="1" xfId="2" applyFont="1" applyFill="1" applyBorder="1" applyAlignment="1" applyProtection="1">
      <alignment vertical="center"/>
    </xf>
    <xf numFmtId="165" fontId="14" fillId="0" borderId="1" xfId="2" applyNumberFormat="1" applyFont="1" applyFill="1" applyBorder="1" applyAlignment="1" applyProtection="1">
      <alignment vertical="center"/>
    </xf>
    <xf numFmtId="171" fontId="14" fillId="0" borderId="1" xfId="2" applyNumberFormat="1" applyFont="1" applyFill="1" applyBorder="1" applyAlignment="1" applyProtection="1">
      <alignment vertical="center"/>
    </xf>
    <xf numFmtId="0" fontId="14" fillId="0" borderId="2" xfId="2" applyFont="1" applyFill="1" applyBorder="1" applyAlignment="1" applyProtection="1">
      <alignment vertical="center"/>
    </xf>
    <xf numFmtId="0" fontId="14" fillId="0" borderId="0" xfId="2" applyFont="1" applyFill="1" applyAlignment="1" applyProtection="1">
      <alignment vertical="center"/>
    </xf>
    <xf numFmtId="165" fontId="14" fillId="0" borderId="2" xfId="2" applyNumberFormat="1" applyFont="1" applyFill="1" applyBorder="1" applyAlignment="1" applyProtection="1">
      <alignment vertical="center"/>
    </xf>
    <xf numFmtId="165" fontId="14" fillId="0" borderId="0" xfId="2" applyNumberFormat="1" applyFont="1" applyFill="1" applyAlignment="1" applyProtection="1">
      <alignment vertical="center"/>
    </xf>
    <xf numFmtId="171" fontId="14" fillId="0" borderId="2" xfId="2" applyNumberFormat="1" applyFont="1" applyFill="1" applyBorder="1" applyAlignment="1" applyProtection="1">
      <alignment vertical="center"/>
    </xf>
    <xf numFmtId="171" fontId="14" fillId="0" borderId="0" xfId="2" applyNumberFormat="1" applyFont="1" applyFill="1" applyAlignment="1" applyProtection="1">
      <alignment vertical="center"/>
    </xf>
    <xf numFmtId="0" fontId="0" fillId="0" borderId="0" xfId="0" applyFill="1"/>
    <xf numFmtId="0" fontId="4" fillId="0" borderId="2" xfId="2" applyFont="1" applyFill="1" applyBorder="1" applyAlignment="1" applyProtection="1">
      <alignment vertical="center"/>
    </xf>
    <xf numFmtId="169" fontId="14" fillId="0" borderId="1" xfId="2" applyNumberFormat="1" applyFont="1" applyFill="1" applyBorder="1" applyAlignment="1" applyProtection="1">
      <alignment vertical="center"/>
    </xf>
    <xf numFmtId="169" fontId="14" fillId="0" borderId="2" xfId="2" applyNumberFormat="1" applyFont="1" applyFill="1" applyBorder="1" applyAlignment="1" applyProtection="1">
      <alignment vertical="center"/>
    </xf>
    <xf numFmtId="169" fontId="14" fillId="0" borderId="0" xfId="2" applyNumberFormat="1" applyFont="1" applyFill="1" applyAlignment="1" applyProtection="1">
      <alignment vertical="center"/>
    </xf>
    <xf numFmtId="0" fontId="32" fillId="0" borderId="2" xfId="2" applyFont="1" applyFill="1" applyBorder="1" applyProtection="1"/>
    <xf numFmtId="169" fontId="14" fillId="0" borderId="1" xfId="2" applyNumberFormat="1" applyFont="1" applyFill="1" applyBorder="1" applyProtection="1"/>
    <xf numFmtId="169" fontId="14" fillId="0" borderId="0" xfId="2" applyNumberFormat="1" applyFont="1" applyFill="1" applyProtection="1"/>
    <xf numFmtId="0" fontId="22" fillId="0" borderId="1" xfId="2" applyFont="1" applyFill="1" applyBorder="1" applyProtection="1"/>
    <xf numFmtId="169" fontId="32" fillId="0" borderId="2" xfId="2" applyNumberFormat="1" applyFont="1" applyFill="1" applyBorder="1" applyAlignment="1" applyProtection="1">
      <alignment vertical="center"/>
    </xf>
    <xf numFmtId="169" fontId="32" fillId="0" borderId="1" xfId="2" applyNumberFormat="1" applyFont="1" applyFill="1" applyBorder="1" applyAlignment="1" applyProtection="1">
      <alignment vertical="center"/>
    </xf>
    <xf numFmtId="172" fontId="124" fillId="0" borderId="1" xfId="2" applyNumberFormat="1" applyFont="1" applyFill="1" applyBorder="1" applyAlignment="1" applyProtection="1"/>
    <xf numFmtId="0" fontId="32" fillId="0" borderId="0" xfId="2" applyFont="1" applyFill="1" applyBorder="1" applyProtection="1"/>
    <xf numFmtId="172" fontId="30" fillId="0" borderId="0" xfId="2" applyNumberFormat="1" applyFill="1" applyBorder="1" applyAlignment="1" applyProtection="1">
      <alignment wrapText="1"/>
    </xf>
    <xf numFmtId="168" fontId="66" fillId="0" borderId="0" xfId="4" applyNumberFormat="1" applyFont="1" applyFill="1" applyBorder="1" applyProtection="1"/>
    <xf numFmtId="0" fontId="124" fillId="0" borderId="4" xfId="3" applyFont="1" applyFill="1" applyBorder="1" applyProtection="1"/>
    <xf numFmtId="186" fontId="14" fillId="0" borderId="3" xfId="3" applyNumberFormat="1" applyFont="1" applyFill="1" applyBorder="1" applyAlignment="1" applyProtection="1">
      <alignment horizontal="center"/>
    </xf>
    <xf numFmtId="0" fontId="62" fillId="5" borderId="6" xfId="4" applyNumberFormat="1" applyFont="1" applyFill="1" applyBorder="1" applyAlignment="1" applyProtection="1">
      <alignment horizontal="centerContinuous" vertical="center"/>
    </xf>
    <xf numFmtId="165" fontId="124" fillId="0" borderId="3" xfId="2" applyNumberFormat="1" applyFont="1" applyBorder="1" applyAlignment="1" applyProtection="1">
      <alignment horizontal="left" vertical="top" wrapText="1"/>
    </xf>
    <xf numFmtId="171" fontId="124" fillId="0" borderId="3" xfId="2" applyNumberFormat="1" applyFont="1" applyBorder="1" applyAlignment="1" applyProtection="1">
      <alignment horizontal="left" vertical="top" wrapText="1"/>
    </xf>
    <xf numFmtId="165" fontId="124" fillId="0" borderId="3" xfId="2" applyNumberFormat="1" applyFont="1" applyBorder="1" applyAlignment="1" applyProtection="1">
      <alignment vertical="top" wrapText="1"/>
    </xf>
    <xf numFmtId="171" fontId="124" fillId="0" borderId="3" xfId="2" applyNumberFormat="1" applyFont="1" applyBorder="1" applyAlignment="1" applyProtection="1">
      <alignment vertical="top" wrapText="1"/>
    </xf>
    <xf numFmtId="165" fontId="124" fillId="0" borderId="3" xfId="2" applyNumberFormat="1" applyFont="1" applyBorder="1" applyAlignment="1" applyProtection="1">
      <alignment wrapText="1"/>
    </xf>
    <xf numFmtId="171" fontId="124" fillId="0" borderId="3" xfId="2" applyNumberFormat="1" applyFont="1" applyBorder="1" applyAlignment="1" applyProtection="1">
      <alignment wrapText="1"/>
    </xf>
    <xf numFmtId="180" fontId="14" fillId="4" borderId="3" xfId="2" applyNumberFormat="1" applyFont="1" applyFill="1" applyBorder="1" applyAlignment="1" applyProtection="1">
      <alignment horizontal="center" vertical="center"/>
      <protection locked="0"/>
    </xf>
    <xf numFmtId="169" fontId="14" fillId="5" borderId="3" xfId="1" applyNumberFormat="1" applyFont="1" applyFill="1" applyBorder="1" applyAlignment="1" applyProtection="1">
      <alignment horizontal="center" vertical="center"/>
      <protection locked="0"/>
    </xf>
    <xf numFmtId="171" fontId="14" fillId="5" borderId="3" xfId="1" applyNumberFormat="1" applyFont="1" applyFill="1" applyBorder="1" applyAlignment="1" applyProtection="1">
      <alignment horizontal="center" vertical="center"/>
      <protection locked="0" hidden="1"/>
    </xf>
    <xf numFmtId="168" fontId="14" fillId="5" borderId="3" xfId="1" applyNumberFormat="1" applyFont="1" applyFill="1" applyBorder="1" applyAlignment="1" applyProtection="1">
      <alignment horizontal="center" vertical="center"/>
      <protection hidden="1"/>
    </xf>
    <xf numFmtId="166" fontId="14" fillId="4" borderId="3" xfId="1" applyNumberFormat="1" applyFont="1" applyFill="1" applyBorder="1" applyAlignment="1" applyProtection="1">
      <alignment horizontal="center" vertical="center"/>
      <protection locked="0"/>
    </xf>
    <xf numFmtId="165" fontId="14" fillId="4" borderId="4" xfId="2" applyNumberFormat="1" applyFont="1" applyFill="1" applyBorder="1" applyAlignment="1" applyProtection="1">
      <alignment horizontal="center" vertical="center"/>
      <protection locked="0"/>
    </xf>
    <xf numFmtId="172" fontId="14" fillId="4" borderId="4" xfId="2" applyNumberFormat="1" applyFont="1" applyFill="1" applyBorder="1" applyAlignment="1" applyProtection="1">
      <alignment horizontal="center" vertical="center"/>
      <protection locked="0"/>
    </xf>
    <xf numFmtId="165" fontId="14" fillId="4" borderId="3" xfId="2" applyNumberFormat="1" applyFont="1" applyFill="1" applyBorder="1" applyAlignment="1" applyProtection="1">
      <alignment horizontal="center" vertical="center"/>
      <protection locked="0"/>
    </xf>
    <xf numFmtId="170" fontId="46" fillId="15" borderId="3" xfId="1" applyNumberFormat="1" applyFont="1" applyFill="1" applyBorder="1" applyAlignment="1" applyProtection="1">
      <alignment horizontal="center" vertical="center"/>
      <protection locked="0"/>
    </xf>
    <xf numFmtId="167" fontId="46" fillId="15" borderId="3" xfId="1" applyNumberFormat="1" applyFont="1" applyFill="1" applyBorder="1" applyAlignment="1" applyProtection="1">
      <alignment horizontal="center" vertical="center"/>
      <protection locked="0"/>
    </xf>
    <xf numFmtId="166" fontId="46" fillId="15" borderId="3" xfId="1" applyNumberFormat="1" applyFont="1" applyFill="1" applyBorder="1" applyAlignment="1" applyProtection="1">
      <alignment horizontal="center" vertical="center"/>
      <protection locked="0"/>
    </xf>
    <xf numFmtId="168" fontId="46" fillId="15" borderId="3" xfId="1" applyNumberFormat="1" applyFont="1" applyFill="1" applyBorder="1" applyAlignment="1" applyProtection="1">
      <alignment horizontal="center" vertical="center"/>
      <protection locked="0"/>
    </xf>
    <xf numFmtId="167" fontId="14" fillId="4" borderId="3" xfId="1" applyNumberFormat="1" applyFont="1" applyFill="1" applyBorder="1" applyAlignment="1" applyProtection="1">
      <alignment horizontal="center" vertical="center"/>
      <protection locked="0" hidden="1"/>
    </xf>
    <xf numFmtId="168" fontId="14" fillId="4" borderId="3" xfId="1" applyNumberFormat="1" applyFont="1" applyFill="1" applyBorder="1" applyAlignment="1" applyProtection="1">
      <alignment horizontal="center" vertical="center"/>
      <protection locked="0"/>
    </xf>
    <xf numFmtId="166" fontId="14" fillId="2" borderId="0" xfId="1" applyNumberFormat="1" applyFont="1" applyFill="1" applyBorder="1" applyAlignment="1" applyProtection="1">
      <alignment vertical="center"/>
    </xf>
    <xf numFmtId="171" fontId="14" fillId="6" borderId="3" xfId="1" applyNumberFormat="1" applyFont="1" applyFill="1" applyBorder="1" applyAlignment="1" applyProtection="1">
      <alignment horizontal="center" vertical="center"/>
      <protection locked="0"/>
    </xf>
    <xf numFmtId="4" fontId="46" fillId="10" borderId="31" xfId="1" applyNumberFormat="1" applyFont="1" applyFill="1" applyBorder="1" applyAlignment="1" applyProtection="1">
      <alignment horizontal="center" vertical="center"/>
    </xf>
    <xf numFmtId="168" fontId="4" fillId="5" borderId="26" xfId="4" applyNumberFormat="1" applyFont="1" applyFill="1" applyBorder="1" applyAlignment="1" applyProtection="1">
      <alignment horizontal="center" vertical="center"/>
    </xf>
    <xf numFmtId="175" fontId="14" fillId="5" borderId="27" xfId="4" applyNumberFormat="1" applyFont="1" applyFill="1" applyBorder="1" applyAlignment="1" applyProtection="1">
      <alignment horizontal="center" vertical="center"/>
    </xf>
    <xf numFmtId="175" fontId="14" fillId="5" borderId="29" xfId="4" applyNumberFormat="1" applyFont="1" applyFill="1" applyBorder="1" applyAlignment="1" applyProtection="1">
      <alignment horizontal="center" vertical="center"/>
    </xf>
    <xf numFmtId="175" fontId="14" fillId="2" borderId="32" xfId="4" applyNumberFormat="1" applyFont="1" applyFill="1" applyBorder="1" applyAlignment="1" applyProtection="1">
      <alignment horizontal="center" vertical="center"/>
    </xf>
    <xf numFmtId="168" fontId="46" fillId="10" borderId="28" xfId="1" applyNumberFormat="1" applyFont="1" applyFill="1" applyBorder="1" applyAlignment="1" applyProtection="1">
      <alignment horizontal="center" vertical="center"/>
    </xf>
    <xf numFmtId="168" fontId="46" fillId="10" borderId="27" xfId="1" applyNumberFormat="1" applyFont="1" applyFill="1" applyBorder="1" applyAlignment="1" applyProtection="1">
      <alignment horizontal="center" vertical="center"/>
    </xf>
    <xf numFmtId="4" fontId="46" fillId="10" borderId="27" xfId="1" applyNumberFormat="1" applyFont="1" applyFill="1" applyBorder="1" applyAlignment="1" applyProtection="1">
      <alignment horizontal="center" vertical="center"/>
    </xf>
    <xf numFmtId="168" fontId="46" fillId="10" borderId="27" xfId="4" applyNumberFormat="1" applyFont="1" applyFill="1" applyBorder="1" applyAlignment="1" applyProtection="1">
      <alignment horizontal="center" vertical="center"/>
    </xf>
    <xf numFmtId="166" fontId="14" fillId="10" borderId="34" xfId="4" applyNumberFormat="1" applyFont="1" applyFill="1" applyBorder="1" applyAlignment="1" applyProtection="1">
      <alignment horizontal="center" vertical="center"/>
    </xf>
    <xf numFmtId="4" fontId="29" fillId="10" borderId="30" xfId="1" applyNumberFormat="1" applyFont="1" applyFill="1" applyBorder="1" applyAlignment="1" applyProtection="1">
      <alignment horizontal="center" vertical="center"/>
    </xf>
    <xf numFmtId="174" fontId="14" fillId="10" borderId="28" xfId="4" applyNumberFormat="1" applyFont="1" applyFill="1" applyBorder="1" applyAlignment="1" applyProtection="1">
      <alignment horizontal="center" vertical="center"/>
    </xf>
    <xf numFmtId="168" fontId="14" fillId="10" borderId="31" xfId="0" applyNumberFormat="1" applyFont="1" applyFill="1" applyBorder="1" applyAlignment="1" applyProtection="1">
      <alignment horizontal="center" vertical="center"/>
    </xf>
    <xf numFmtId="0" fontId="6" fillId="2" borderId="0" xfId="1" quotePrefix="1" applyFont="1" applyFill="1" applyBorder="1" applyAlignment="1" applyProtection="1">
      <alignment horizontal="center" vertical="center"/>
    </xf>
    <xf numFmtId="0" fontId="0" fillId="0" borderId="1" xfId="1" applyFont="1" applyFill="1" applyBorder="1" applyAlignment="1" applyProtection="1">
      <alignment vertical="top" wrapText="1" readingOrder="1"/>
      <protection locked="0"/>
    </xf>
    <xf numFmtId="0" fontId="0" fillId="0" borderId="0" xfId="1" applyFont="1" applyFill="1" applyBorder="1" applyAlignment="1" applyProtection="1">
      <alignment vertical="top" wrapText="1" readingOrder="1"/>
      <protection locked="0"/>
    </xf>
    <xf numFmtId="0" fontId="22" fillId="0" borderId="1" xfId="1" applyFont="1" applyFill="1" applyBorder="1" applyAlignment="1" applyProtection="1">
      <alignment vertical="top" wrapText="1"/>
      <protection locked="0"/>
    </xf>
    <xf numFmtId="0" fontId="0" fillId="0" borderId="1" xfId="0" applyFont="1" applyFill="1" applyBorder="1" applyAlignment="1" applyProtection="1">
      <alignment horizontal="left" vertical="top" wrapText="1" readingOrder="1"/>
      <protection locked="0"/>
    </xf>
    <xf numFmtId="0" fontId="22" fillId="0" borderId="1"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0" xfId="1" applyFont="1" applyFill="1" applyBorder="1" applyAlignment="1" applyProtection="1">
      <alignment vertical="top" wrapText="1"/>
      <protection locked="0"/>
    </xf>
    <xf numFmtId="0" fontId="14" fillId="2" borderId="10"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wrapText="1"/>
      <protection locked="0"/>
    </xf>
    <xf numFmtId="0" fontId="20" fillId="0" borderId="1" xfId="1" applyFont="1" applyFill="1" applyBorder="1" applyAlignment="1" applyProtection="1">
      <alignment vertical="top" wrapText="1"/>
      <protection locked="0"/>
    </xf>
    <xf numFmtId="0" fontId="20" fillId="0" borderId="0" xfId="1" applyFont="1" applyFill="1" applyBorder="1" applyAlignment="1" applyProtection="1">
      <alignment vertical="top" wrapText="1"/>
      <protection locked="0"/>
    </xf>
    <xf numFmtId="49" fontId="21" fillId="4" borderId="4" xfId="1" applyNumberFormat="1" applyFont="1" applyFill="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65" fillId="0" borderId="1" xfId="0" applyFont="1" applyFill="1" applyBorder="1" applyAlignment="1" applyProtection="1">
      <alignment horizontal="left" wrapText="1" readingOrder="1"/>
      <protection locked="0"/>
    </xf>
    <xf numFmtId="0" fontId="65" fillId="0" borderId="0" xfId="0" applyFont="1" applyFill="1" applyBorder="1" applyAlignment="1" applyProtection="1">
      <alignment horizontal="left" wrapText="1" readingOrder="1"/>
      <protection locked="0"/>
    </xf>
    <xf numFmtId="0" fontId="65" fillId="0" borderId="2" xfId="0" applyFont="1" applyFill="1" applyBorder="1" applyAlignment="1" applyProtection="1">
      <alignment horizontal="left" wrapText="1" readingOrder="1"/>
      <protection locked="0"/>
    </xf>
    <xf numFmtId="0" fontId="22" fillId="0" borderId="1" xfId="0" applyFont="1" applyFill="1" applyBorder="1" applyAlignment="1" applyProtection="1">
      <alignment horizontal="left" vertical="top" wrapText="1" readingOrder="1"/>
      <protection locked="0"/>
    </xf>
    <xf numFmtId="0" fontId="22" fillId="0" borderId="0" xfId="0" applyFont="1" applyFill="1" applyBorder="1" applyAlignment="1" applyProtection="1">
      <alignment horizontal="left" vertical="top" wrapText="1" readingOrder="1"/>
      <protection locked="0"/>
    </xf>
    <xf numFmtId="0" fontId="21" fillId="0" borderId="1"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98" fillId="0" borderId="0" xfId="0" applyFont="1" applyFill="1" applyAlignment="1" applyProtection="1">
      <alignment horizontal="center"/>
      <protection locked="0"/>
    </xf>
    <xf numFmtId="0" fontId="90" fillId="2" borderId="0" xfId="2" applyFont="1" applyFill="1" applyBorder="1" applyAlignment="1" applyProtection="1">
      <alignment horizontal="left" vertical="top" wrapText="1"/>
    </xf>
    <xf numFmtId="0" fontId="0" fillId="0" borderId="0" xfId="0" applyBorder="1" applyProtection="1"/>
    <xf numFmtId="0" fontId="2" fillId="14" borderId="0" xfId="1" applyFont="1" applyFill="1" applyBorder="1" applyAlignment="1" applyProtection="1">
      <alignment horizontal="left" vertical="top" wrapText="1"/>
    </xf>
    <xf numFmtId="0" fontId="58" fillId="0" borderId="1" xfId="1" applyFont="1" applyFill="1" applyBorder="1" applyAlignment="1" applyProtection="1">
      <alignment wrapText="1"/>
      <protection locked="0"/>
    </xf>
    <xf numFmtId="0" fontId="58" fillId="0" borderId="0" xfId="1" applyFont="1" applyFill="1" applyBorder="1" applyAlignment="1" applyProtection="1">
      <alignment wrapText="1"/>
      <protection locked="0"/>
    </xf>
    <xf numFmtId="0" fontId="4" fillId="3" borderId="4" xfId="1" applyFont="1" applyFill="1" applyBorder="1" applyAlignment="1" applyProtection="1">
      <alignment horizontal="center"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49" fontId="21" fillId="3" borderId="4" xfId="0" applyNumberFormat="1" applyFont="1" applyFill="1" applyBorder="1" applyAlignment="1" applyProtection="1">
      <alignment horizontal="center" vertical="center"/>
      <protection locked="0"/>
    </xf>
    <xf numFmtId="0" fontId="0" fillId="0" borderId="5" xfId="0" applyBorder="1" applyAlignment="1">
      <alignment horizontal="center"/>
    </xf>
    <xf numFmtId="0" fontId="0" fillId="0" borderId="6" xfId="0" applyBorder="1" applyAlignment="1">
      <alignment horizontal="center"/>
    </xf>
    <xf numFmtId="0" fontId="37" fillId="0" borderId="0" xfId="0" applyFont="1" applyFill="1" applyAlignment="1" applyProtection="1">
      <alignment horizontal="center"/>
      <protection locked="0"/>
    </xf>
    <xf numFmtId="0" fontId="124" fillId="0" borderId="0" xfId="4" applyFont="1" applyFill="1" applyAlignment="1" applyProtection="1">
      <alignment vertical="top" wrapText="1"/>
    </xf>
    <xf numFmtId="0" fontId="131" fillId="0" borderId="0" xfId="0" applyFont="1" applyFill="1" applyAlignment="1" applyProtection="1">
      <alignment horizontal="left" vertical="top" wrapText="1"/>
    </xf>
    <xf numFmtId="0" fontId="92" fillId="2" borderId="16" xfId="0" applyFont="1" applyFill="1" applyBorder="1" applyAlignment="1" applyProtection="1">
      <alignment horizontal="center" vertical="center" wrapText="1"/>
    </xf>
    <xf numFmtId="0" fontId="71" fillId="2" borderId="0" xfId="4" applyFont="1" applyFill="1" applyAlignment="1" applyProtection="1">
      <alignment horizontal="left" vertical="top" wrapText="1"/>
    </xf>
    <xf numFmtId="0" fontId="72" fillId="2" borderId="0" xfId="1" applyNumberFormat="1"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14" fillId="0" borderId="1" xfId="1" applyFont="1" applyFill="1" applyBorder="1" applyAlignment="1" applyProtection="1">
      <alignment vertical="top" wrapText="1"/>
    </xf>
    <xf numFmtId="0" fontId="0" fillId="0" borderId="0" xfId="0"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0" xfId="0" applyFill="1" applyBorder="1" applyAlignment="1">
      <alignment wrapText="1"/>
    </xf>
    <xf numFmtId="14" fontId="4" fillId="5" borderId="4" xfId="4" applyNumberFormat="1" applyFont="1" applyFill="1" applyBorder="1" applyAlignment="1" applyProtection="1">
      <alignment horizontal="center" vertical="center"/>
    </xf>
    <xf numFmtId="0" fontId="118" fillId="5" borderId="4" xfId="4" applyNumberFormat="1" applyFont="1" applyFill="1" applyBorder="1" applyAlignment="1" applyProtection="1">
      <alignment horizontal="center" vertical="center"/>
    </xf>
    <xf numFmtId="0" fontId="119" fillId="0" borderId="6" xfId="0" applyFont="1" applyBorder="1" applyAlignment="1">
      <alignment horizontal="center" vertical="center"/>
    </xf>
    <xf numFmtId="0" fontId="4" fillId="5" borderId="4" xfId="4" applyNumberFormat="1" applyFont="1" applyFill="1" applyBorder="1" applyAlignment="1" applyProtection="1">
      <alignment horizontal="center" vertical="center"/>
    </xf>
    <xf numFmtId="0" fontId="0" fillId="0" borderId="6" xfId="0" applyBorder="1" applyAlignment="1"/>
    <xf numFmtId="0" fontId="34" fillId="0" borderId="1" xfId="0" applyFont="1" applyFill="1" applyBorder="1" applyAlignment="1">
      <alignment horizontal="left" vertical="top" wrapText="1" readingOrder="1"/>
    </xf>
    <xf numFmtId="0" fontId="0" fillId="0" borderId="2" xfId="0" applyFill="1" applyBorder="1" applyAlignment="1">
      <alignment vertical="top" wrapText="1"/>
    </xf>
    <xf numFmtId="0" fontId="110" fillId="0" borderId="1" xfId="0" applyFont="1" applyFill="1" applyBorder="1" applyAlignment="1">
      <alignment vertical="top" wrapText="1"/>
    </xf>
    <xf numFmtId="0" fontId="29" fillId="0" borderId="2" xfId="0" applyFont="1" applyFill="1" applyBorder="1" applyAlignment="1">
      <alignment vertical="top" wrapText="1"/>
    </xf>
    <xf numFmtId="0" fontId="29" fillId="0" borderId="1" xfId="0" applyFont="1" applyFill="1" applyBorder="1" applyAlignment="1">
      <alignment vertical="top" wrapText="1"/>
    </xf>
  </cellXfs>
  <cellStyles count="6">
    <cellStyle name="Comma" xfId="5" builtinId="3"/>
    <cellStyle name="Normal" xfId="0" builtinId="0"/>
    <cellStyle name="標準_Hydraulic Eff. (Total)" xfId="4"/>
    <cellStyle name="標準_Power Eff. (Revised)" xfId="3"/>
    <cellStyle name="標準_Specific Energy Eff. (Revised)" xfId="1"/>
    <cellStyle name="標準_Volumetric Eff." xfId="2"/>
  </cellStyles>
  <dxfs count="25">
    <dxf>
      <font>
        <strike val="0"/>
        <color rgb="FFFF0000"/>
      </font>
    </dxf>
    <dxf>
      <font>
        <strike val="0"/>
        <color rgb="FFFF0000"/>
      </font>
    </dxf>
    <dxf>
      <font>
        <color theme="0"/>
      </font>
      <fill>
        <patternFill>
          <bgColor theme="0"/>
        </patternFill>
      </fill>
      <border>
        <left/>
        <right style="thin">
          <color auto="1"/>
        </right>
        <top style="thin">
          <color auto="1"/>
        </top>
        <bottom style="thin">
          <color auto="1"/>
        </bottom>
        <vertical/>
        <horizontal/>
      </border>
    </dxf>
    <dxf>
      <font>
        <color theme="0"/>
      </font>
      <fill>
        <patternFill>
          <bgColor theme="0"/>
        </patternFill>
      </fill>
      <border>
        <left/>
        <right style="thin">
          <color auto="1"/>
        </right>
        <top style="thin">
          <color auto="1"/>
        </top>
        <bottom style="thin">
          <color auto="1"/>
        </bottom>
        <vertical/>
        <horizontal/>
      </border>
    </dxf>
    <dxf>
      <font>
        <color theme="0"/>
      </font>
      <fill>
        <patternFill>
          <bgColor theme="0"/>
        </patternFill>
      </fill>
      <border>
        <left/>
        <right style="thin">
          <color auto="1"/>
        </right>
        <top style="thin">
          <color auto="1"/>
        </top>
        <bottom style="thin">
          <color auto="1"/>
        </bottom>
        <vertical/>
        <horizontal/>
      </border>
    </dxf>
    <dxf>
      <font>
        <color theme="0"/>
      </font>
      <fill>
        <patternFill>
          <bgColor theme="0"/>
        </patternFill>
      </fill>
      <border>
        <left/>
        <right style="thin">
          <color auto="1"/>
        </right>
        <top style="thin">
          <color auto="1"/>
        </top>
        <bottom style="thin">
          <color auto="1"/>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style="thin">
          <color auto="1"/>
        </bottom>
        <vertical/>
        <horizontal/>
      </border>
    </dxf>
    <dxf>
      <border>
        <left style="thin">
          <color auto="1"/>
        </left>
        <vertical/>
        <horizontal/>
      </border>
    </dxf>
    <dxf>
      <border>
        <left style="thin">
          <color theme="0"/>
        </left>
        <right style="thin">
          <color theme="1"/>
        </right>
        <top style="thin">
          <color theme="1"/>
        </top>
        <bottom style="thin">
          <color theme="1"/>
        </bottom>
        <vertical/>
        <horizontal/>
      </border>
    </dxf>
    <dxf>
      <font>
        <strike val="0"/>
      </font>
      <border>
        <left style="dashDot">
          <color auto="1"/>
        </left>
        <right style="thin">
          <color theme="0"/>
        </right>
        <top style="thin">
          <color theme="0"/>
        </top>
        <bottom style="thin">
          <color theme="0"/>
        </bottom>
        <vertical/>
        <horizontal/>
      </border>
    </dxf>
    <dxf>
      <border>
        <left style="thin">
          <color theme="0"/>
        </left>
        <right style="thin">
          <color theme="0"/>
        </right>
        <top style="thin">
          <color theme="0"/>
        </top>
        <bottom style="thin">
          <color theme="0"/>
        </bottom>
        <vertical/>
        <horizontal/>
      </border>
    </dxf>
    <dxf>
      <font>
        <strike val="0"/>
        <color theme="0"/>
      </font>
      <fill>
        <patternFill patternType="solid">
          <fgColor theme="0"/>
          <bgColor theme="0"/>
        </patternFill>
      </fill>
      <border>
        <right style="thin">
          <color theme="0"/>
        </right>
        <top style="thin">
          <color theme="0"/>
        </top>
        <bottom style="thin">
          <color theme="0"/>
        </bottom>
        <vertical/>
        <horizontal/>
      </border>
    </dxf>
    <dxf>
      <font>
        <strike val="0"/>
        <color theme="0"/>
      </font>
    </dxf>
    <dxf>
      <font>
        <strike val="0"/>
        <color theme="0"/>
      </font>
      <fill>
        <patternFill>
          <bgColor theme="0"/>
        </patternFill>
      </fill>
      <border>
        <top style="thin">
          <color theme="0"/>
        </top>
        <bottom style="thin">
          <color theme="0"/>
        </bottom>
        <vertical/>
        <horizontal/>
      </border>
    </dxf>
    <dxf>
      <border>
        <right style="thin">
          <color auto="1"/>
        </right>
        <vertical/>
        <horizontal/>
      </border>
    </dxf>
    <dxf>
      <font>
        <strike val="0"/>
        <color theme="0"/>
      </font>
      <fill>
        <patternFill>
          <bgColor theme="0"/>
        </patternFill>
      </fill>
      <border>
        <left style="thin">
          <color auto="1"/>
        </left>
        <right/>
        <top/>
        <bottom/>
        <vertical/>
        <horizontal/>
      </border>
    </dxf>
    <dxf>
      <font>
        <strike val="0"/>
        <color theme="0"/>
      </font>
      <fill>
        <patternFill>
          <bgColor theme="0"/>
        </patternFill>
      </fill>
      <border>
        <left style="thin">
          <color theme="0"/>
        </left>
        <right style="thin">
          <color theme="0"/>
        </right>
        <top style="thin">
          <color theme="0"/>
        </top>
        <bottom style="thin">
          <color theme="0"/>
        </bottom>
      </border>
    </dxf>
    <dxf>
      <font>
        <color theme="0"/>
      </font>
      <fill>
        <patternFill>
          <bgColor theme="0"/>
        </patternFill>
      </fill>
      <border>
        <left/>
        <right style="thin">
          <color auto="1"/>
        </right>
        <top style="thin">
          <color auto="1"/>
        </top>
        <bottom style="thin">
          <color auto="1"/>
        </bottom>
        <vertical/>
        <horizontal/>
      </border>
    </dxf>
    <dxf>
      <fill>
        <patternFill>
          <bgColor rgb="FFCCFFCC"/>
        </patternFill>
      </fill>
    </dxf>
    <dxf>
      <font>
        <strike val="0"/>
      </font>
      <fill>
        <patternFill>
          <bgColor rgb="FFCCFFCC"/>
        </patternFill>
      </fill>
    </dxf>
    <dxf>
      <font>
        <color rgb="FFFFFF99"/>
      </font>
    </dxf>
    <dxf>
      <font>
        <strike val="0"/>
        <color rgb="FFFF0000"/>
      </font>
    </dxf>
    <dxf>
      <font>
        <strike val="0"/>
        <color rgb="FFFF0000"/>
      </font>
    </dxf>
    <dxf>
      <font>
        <b/>
        <i val="0"/>
        <color rgb="FFFF0000"/>
      </font>
    </dxf>
  </dxfs>
  <tableStyles count="0" defaultTableStyle="TableStyleMedium2" defaultPivotStyle="PivotStyleLight16"/>
  <colors>
    <mruColors>
      <color rgb="FFCCFFCC"/>
      <color rgb="FFFFFF99"/>
      <color rgb="FF0000FF"/>
      <color rgb="FF002060"/>
      <color rgb="FFCCFFFF"/>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0</xdr:row>
      <xdr:rowOff>85725</xdr:rowOff>
    </xdr:from>
    <xdr:to>
      <xdr:col>1</xdr:col>
      <xdr:colOff>6896100</xdr:colOff>
      <xdr:row>2</xdr:row>
      <xdr:rowOff>0</xdr:rowOff>
    </xdr:to>
    <xdr:pic>
      <xdr:nvPicPr>
        <xdr:cNvPr id="2" name="Picture 2">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72425" y="85725"/>
          <a:ext cx="0" cy="419100"/>
        </a:xfrm>
        <a:prstGeom prst="rect">
          <a:avLst/>
        </a:prstGeom>
        <a:noFill/>
        <a:ln w="9525">
          <a:noFill/>
          <a:miter lim="800000"/>
          <a:headEnd/>
          <a:tailEnd/>
        </a:ln>
      </xdr:spPr>
    </xdr:pic>
    <xdr:clientData/>
  </xdr:twoCellAnchor>
  <xdr:twoCellAnchor editAs="oneCell">
    <xdr:from>
      <xdr:col>0</xdr:col>
      <xdr:colOff>152400</xdr:colOff>
      <xdr:row>0</xdr:row>
      <xdr:rowOff>152400</xdr:rowOff>
    </xdr:from>
    <xdr:to>
      <xdr:col>1</xdr:col>
      <xdr:colOff>247650</xdr:colOff>
      <xdr:row>3</xdr:row>
      <xdr:rowOff>30133</xdr:rowOff>
    </xdr:to>
    <xdr:pic>
      <xdr:nvPicPr>
        <xdr:cNvPr id="5" name="Picture 32">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0" y="152400"/>
          <a:ext cx="781050" cy="69053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706967</xdr:colOff>
      <xdr:row>11</xdr:row>
      <xdr:rowOff>65618</xdr:rowOff>
    </xdr:from>
    <xdr:to>
      <xdr:col>6</xdr:col>
      <xdr:colOff>910167</xdr:colOff>
      <xdr:row>13</xdr:row>
      <xdr:rowOff>264583</xdr:rowOff>
    </xdr:to>
    <xdr:sp macro="" textlink="">
      <xdr:nvSpPr>
        <xdr:cNvPr id="2" name="Text Box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908300" y="3431118"/>
          <a:ext cx="2065867" cy="88688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altLang="ja-JP" sz="1100" b="0" i="0" u="none" strike="noStrike" baseline="0">
              <a:solidFill>
                <a:srgbClr val="002060"/>
              </a:solidFill>
              <a:latin typeface="Arial"/>
              <a:cs typeface="Arial"/>
            </a:rPr>
            <a:t> Francis turbine           :  I</a:t>
          </a:r>
          <a:r>
            <a:rPr lang="en-US" altLang="ja-JP" sz="1100" b="0" i="0" u="none" strike="noStrike" baseline="-25000">
              <a:solidFill>
                <a:srgbClr val="002060"/>
              </a:solidFill>
              <a:latin typeface="Arial"/>
              <a:cs typeface="Arial"/>
            </a:rPr>
            <a:t>T</a:t>
          </a:r>
          <a:r>
            <a:rPr lang="en-US" altLang="ja-JP" sz="1100" b="0" i="0" u="none" strike="noStrike" baseline="0">
              <a:solidFill>
                <a:srgbClr val="002060"/>
              </a:solidFill>
              <a:latin typeface="Arial"/>
              <a:cs typeface="Arial"/>
            </a:rPr>
            <a:t> = 1</a:t>
          </a:r>
        </a:p>
        <a:p>
          <a:pPr algn="l" rtl="0">
            <a:defRPr sz="1000"/>
          </a:pPr>
          <a:r>
            <a:rPr lang="en-US" altLang="ja-JP" sz="1100" b="0" i="0" u="none" strike="noStrike" baseline="0">
              <a:solidFill>
                <a:srgbClr val="002060"/>
              </a:solidFill>
              <a:latin typeface="Arial"/>
              <a:cs typeface="Arial"/>
            </a:rPr>
            <a:t> Pump-Turbine</a:t>
          </a:r>
        </a:p>
        <a:p>
          <a:pPr algn="l" rtl="0">
            <a:defRPr sz="1000"/>
          </a:pPr>
          <a:r>
            <a:rPr lang="en-US" altLang="ja-JP" sz="1100" b="0" i="0" u="none" strike="noStrike" baseline="0">
              <a:solidFill>
                <a:srgbClr val="002060"/>
              </a:solidFill>
              <a:latin typeface="Arial"/>
              <a:cs typeface="Arial"/>
            </a:rPr>
            <a:t>     Turbine operation </a:t>
          </a:r>
          <a:r>
            <a:rPr lang="en-US" altLang="ja-JP" sz="600" b="0" i="0" u="none" strike="noStrike" baseline="0">
              <a:solidFill>
                <a:srgbClr val="002060"/>
              </a:solidFill>
              <a:latin typeface="Arial"/>
              <a:cs typeface="Arial"/>
            </a:rPr>
            <a:t> </a:t>
          </a:r>
          <a:r>
            <a:rPr lang="en-US" altLang="ja-JP" sz="1100" b="0" i="0" u="none" strike="noStrike" baseline="0">
              <a:solidFill>
                <a:srgbClr val="002060"/>
              </a:solidFill>
              <a:latin typeface="Arial"/>
              <a:cs typeface="Arial"/>
            </a:rPr>
            <a:t>:   I</a:t>
          </a:r>
          <a:r>
            <a:rPr lang="en-US" altLang="ja-JP" sz="1100" b="0" i="0" u="none" strike="noStrike" baseline="-25000">
              <a:solidFill>
                <a:srgbClr val="002060"/>
              </a:solidFill>
              <a:latin typeface="Arial"/>
              <a:cs typeface="Arial"/>
            </a:rPr>
            <a:t>T</a:t>
          </a:r>
          <a:r>
            <a:rPr lang="en-US" altLang="ja-JP" sz="1100" b="0" i="0" u="none" strike="noStrike" baseline="0">
              <a:solidFill>
                <a:srgbClr val="002060"/>
              </a:solidFill>
              <a:latin typeface="Arial"/>
              <a:cs typeface="Arial"/>
            </a:rPr>
            <a:t> = 2</a:t>
          </a:r>
        </a:p>
        <a:p>
          <a:pPr algn="l" rtl="0">
            <a:defRPr sz="1000"/>
          </a:pPr>
          <a:r>
            <a:rPr lang="en-US" altLang="ja-JP" sz="1100" b="0" i="0" u="none" strike="noStrike" baseline="0">
              <a:solidFill>
                <a:srgbClr val="002060"/>
              </a:solidFill>
              <a:latin typeface="Arial"/>
              <a:cs typeface="Arial"/>
            </a:rPr>
            <a:t>      Pump operation  </a:t>
          </a:r>
          <a:r>
            <a:rPr lang="en-US" altLang="ja-JP" sz="800" b="0" i="0" u="none" strike="noStrike" baseline="0">
              <a:solidFill>
                <a:srgbClr val="002060"/>
              </a:solidFill>
              <a:latin typeface="Arial"/>
              <a:cs typeface="Arial"/>
            </a:rPr>
            <a:t>   </a:t>
          </a:r>
          <a:r>
            <a:rPr lang="en-US" altLang="ja-JP" sz="1100" b="0" i="0" u="none" strike="noStrike" baseline="0">
              <a:solidFill>
                <a:srgbClr val="002060"/>
              </a:solidFill>
              <a:latin typeface="Arial"/>
              <a:cs typeface="Arial"/>
            </a:rPr>
            <a:t>:  I</a:t>
          </a:r>
          <a:r>
            <a:rPr lang="en-US" altLang="ja-JP" sz="1100" b="0" i="0" u="none" strike="noStrike" baseline="-25000">
              <a:solidFill>
                <a:srgbClr val="002060"/>
              </a:solidFill>
              <a:latin typeface="Arial"/>
              <a:cs typeface="Arial"/>
            </a:rPr>
            <a:t>T</a:t>
          </a:r>
          <a:r>
            <a:rPr lang="en-US" altLang="ja-JP" sz="1100" b="0" i="0" u="none" strike="noStrike" baseline="0">
              <a:solidFill>
                <a:srgbClr val="002060"/>
              </a:solidFill>
              <a:latin typeface="Arial"/>
              <a:cs typeface="Arial"/>
            </a:rPr>
            <a:t> = 3</a:t>
          </a:r>
        </a:p>
        <a:p>
          <a:pPr algn="l" rtl="0">
            <a:defRPr sz="1000"/>
          </a:pPr>
          <a:r>
            <a:rPr lang="en-US" altLang="ja-JP" sz="1100" b="0" i="0" u="none" strike="noStrike" baseline="0">
              <a:solidFill>
                <a:srgbClr val="002060"/>
              </a:solidFill>
              <a:latin typeface="Arial"/>
              <a:cs typeface="Arial"/>
            </a:rPr>
            <a:t> Axial flow machine    </a:t>
          </a:r>
          <a:r>
            <a:rPr lang="en-US" altLang="ja-JP" sz="1000" b="0" i="0" u="none" strike="noStrike" baseline="0">
              <a:solidFill>
                <a:srgbClr val="002060"/>
              </a:solidFill>
              <a:latin typeface="Arial"/>
              <a:cs typeface="Arial"/>
            </a:rPr>
            <a:t> </a:t>
          </a:r>
          <a:r>
            <a:rPr lang="en-US" altLang="ja-JP" sz="1100" b="0" i="0" u="none" strike="noStrike" baseline="0">
              <a:solidFill>
                <a:srgbClr val="002060"/>
              </a:solidFill>
              <a:latin typeface="Arial"/>
              <a:cs typeface="Arial"/>
            </a:rPr>
            <a:t>:  I</a:t>
          </a:r>
          <a:r>
            <a:rPr lang="en-US" altLang="ja-JP" sz="1100" b="0" i="0" u="none" strike="noStrike" baseline="-25000">
              <a:solidFill>
                <a:srgbClr val="002060"/>
              </a:solidFill>
              <a:latin typeface="Arial"/>
              <a:cs typeface="Arial"/>
            </a:rPr>
            <a:t>T</a:t>
          </a:r>
          <a:r>
            <a:rPr lang="en-US" altLang="ja-JP" sz="1100" b="0" i="0" u="none" strike="noStrike" baseline="0">
              <a:solidFill>
                <a:srgbClr val="002060"/>
              </a:solidFill>
              <a:latin typeface="Arial"/>
              <a:cs typeface="Arial"/>
            </a:rPr>
            <a:t> = </a:t>
          </a:r>
          <a:r>
            <a:rPr lang="en-US" altLang="ja-JP" sz="1100" b="0" i="0" u="none" strike="noStrike" baseline="0">
              <a:solidFill>
                <a:srgbClr val="000000"/>
              </a:solidFill>
              <a:latin typeface="Arial"/>
              <a:cs typeface="Arial"/>
            </a:rPr>
            <a:t>4</a:t>
          </a:r>
        </a:p>
      </xdr:txBody>
    </xdr:sp>
    <xdr:clientData/>
  </xdr:twoCellAnchor>
  <xdr:twoCellAnchor>
    <xdr:from>
      <xdr:col>6</xdr:col>
      <xdr:colOff>114300</xdr:colOff>
      <xdr:row>40</xdr:row>
      <xdr:rowOff>66675</xdr:rowOff>
    </xdr:from>
    <xdr:to>
      <xdr:col>6</xdr:col>
      <xdr:colOff>200025</xdr:colOff>
      <xdr:row>44</xdr:row>
      <xdr:rowOff>238125</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4105275" y="9753600"/>
          <a:ext cx="85725" cy="1247775"/>
        </a:xfrm>
        <a:prstGeom prst="rightBrace">
          <a:avLst>
            <a:gd name="adj1" fmla="val 116667"/>
            <a:gd name="adj2" fmla="val 50000"/>
          </a:avLst>
        </a:prstGeom>
        <a:noFill/>
        <a:ln w="9525">
          <a:solidFill>
            <a:srgbClr val="000000"/>
          </a:solidFill>
          <a:round/>
          <a:headEnd/>
          <a:tailEnd/>
        </a:ln>
      </xdr:spPr>
    </xdr:sp>
    <xdr:clientData/>
  </xdr:twoCellAnchor>
  <xdr:twoCellAnchor>
    <xdr:from>
      <xdr:col>3</xdr:col>
      <xdr:colOff>723902</xdr:colOff>
      <xdr:row>7</xdr:row>
      <xdr:rowOff>361950</xdr:rowOff>
    </xdr:from>
    <xdr:to>
      <xdr:col>7</xdr:col>
      <xdr:colOff>552451</xdr:colOff>
      <xdr:row>10</xdr:row>
      <xdr:rowOff>361950</xdr:rowOff>
    </xdr:to>
    <xdr:sp macro="" textlink="">
      <xdr:nvSpPr>
        <xdr:cNvPr id="4" name="Text Box 34">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914652" y="1933575"/>
          <a:ext cx="4429124" cy="1362075"/>
        </a:xfrm>
        <a:prstGeom prst="rect">
          <a:avLst/>
        </a:prstGeom>
        <a:solidFill>
          <a:schemeClr val="bg1"/>
        </a:solidFill>
        <a:ln w="9525">
          <a:solidFill>
            <a:srgbClr val="000000"/>
          </a:solidFill>
          <a:miter lim="800000"/>
          <a:headEnd/>
          <a:tailEnd/>
        </a:ln>
      </xdr:spPr>
      <xdr:txBody>
        <a:bodyPr vertOverflow="clip" wrap="square" lIns="27432" tIns="22860" rIns="0" bIns="22860" anchor="ctr" upright="1"/>
        <a:lstStyle/>
        <a:p>
          <a:pPr algn="l" rtl="0">
            <a:defRPr sz="1000"/>
          </a:pPr>
          <a:r>
            <a:rPr lang="en-US" altLang="ja-JP" sz="1100" b="0" i="0" u="none" strike="noStrike" baseline="0">
              <a:solidFill>
                <a:srgbClr val="000000"/>
              </a:solidFill>
              <a:latin typeface="Arial"/>
              <a:cs typeface="Arial"/>
            </a:rPr>
            <a:t> </a:t>
          </a:r>
          <a:r>
            <a:rPr lang="en-US" altLang="ja-JP" sz="1100" b="1" i="0" u="none" strike="noStrike" baseline="0">
              <a:solidFill>
                <a:srgbClr val="002060"/>
              </a:solidFill>
              <a:latin typeface="Arial"/>
              <a:cs typeface="Arial"/>
            </a:rPr>
            <a:t>Calculation for</a:t>
          </a:r>
        </a:p>
        <a:p>
          <a:pPr algn="l" rtl="0">
            <a:defRPr sz="1000"/>
          </a:pPr>
          <a:r>
            <a:rPr lang="en-US" altLang="ja-JP" sz="1100" b="1" i="0" u="none" strike="noStrike" baseline="0">
              <a:solidFill>
                <a:srgbClr val="002060"/>
              </a:solidFill>
              <a:latin typeface="Arial"/>
              <a:cs typeface="Arial"/>
            </a:rPr>
            <a:t> -  Conversion of performance from </a:t>
          </a:r>
        </a:p>
        <a:p>
          <a:pPr algn="l" rtl="0">
            <a:defRPr sz="1000"/>
          </a:pPr>
          <a:r>
            <a:rPr lang="en-US" sz="1000" b="0" i="0" baseline="0">
              <a:solidFill>
                <a:srgbClr val="002060"/>
              </a:solidFill>
              <a:latin typeface="Arial" pitchFamily="34" charset="0"/>
              <a:ea typeface="+mn-ea"/>
              <a:cs typeface="Arial" pitchFamily="34" charset="0"/>
            </a:rPr>
            <a:t>     *  MODEL </a:t>
          </a:r>
          <a:r>
            <a:rPr lang="en-US" sz="1000" b="1" i="0" baseline="0">
              <a:solidFill>
                <a:srgbClr val="002060"/>
              </a:solidFill>
              <a:latin typeface="Arial" pitchFamily="34" charset="0"/>
              <a:ea typeface="+mn-ea"/>
              <a:cs typeface="Arial" pitchFamily="34" charset="0"/>
            </a:rPr>
            <a:t>to</a:t>
          </a:r>
          <a:r>
            <a:rPr lang="en-US" sz="1000" b="0" i="0" baseline="0">
              <a:solidFill>
                <a:srgbClr val="002060"/>
              </a:solidFill>
              <a:latin typeface="Arial" pitchFamily="34" charset="0"/>
              <a:ea typeface="+mn-ea"/>
              <a:cs typeface="Arial" pitchFamily="34" charset="0"/>
            </a:rPr>
            <a:t> REFERENCE MODEL </a:t>
          </a:r>
        </a:p>
        <a:p>
          <a:pPr algn="l" rtl="0">
            <a:defRPr sz="1000"/>
          </a:pPr>
          <a:r>
            <a:rPr lang="en-US" sz="1000" b="0" i="0" baseline="0">
              <a:solidFill>
                <a:srgbClr val="002060"/>
              </a:solidFill>
              <a:latin typeface="Arial" pitchFamily="34" charset="0"/>
              <a:ea typeface="+mn-ea"/>
              <a:cs typeface="Arial" pitchFamily="34" charset="0"/>
            </a:rPr>
            <a:t>                            (NORMALIZATION - STEP 1): 		  </a:t>
          </a:r>
          <a:r>
            <a:rPr lang="en-US" sz="1100" b="0" i="0" baseline="0">
              <a:solidFill>
                <a:srgbClr val="002060"/>
              </a:solidFill>
              <a:latin typeface="Arial" pitchFamily="34" charset="0"/>
              <a:ea typeface="+mn-ea"/>
              <a:cs typeface="Arial" pitchFamily="34" charset="0"/>
            </a:rPr>
            <a:t>Ic = 1</a:t>
          </a:r>
          <a:r>
            <a:rPr lang="en-US" altLang="ja-JP" sz="1100" b="1" i="0" u="none" strike="noStrike" baseline="0">
              <a:solidFill>
                <a:srgbClr val="002060"/>
              </a:solidFill>
              <a:latin typeface="Arial" pitchFamily="34" charset="0"/>
              <a:cs typeface="Arial" pitchFamily="34" charset="0"/>
            </a:rPr>
            <a:t> </a:t>
          </a:r>
        </a:p>
        <a:p>
          <a:pPr algn="l" rtl="0">
            <a:defRPr sz="1000"/>
          </a:pPr>
          <a:r>
            <a:rPr lang="en-US" altLang="ja-JP" sz="1000" b="0" i="0" u="none" strike="noStrike" baseline="0">
              <a:solidFill>
                <a:srgbClr val="002060"/>
              </a:solidFill>
              <a:latin typeface="Arial" pitchFamily="34" charset="0"/>
              <a:cs typeface="Arial" pitchFamily="34" charset="0"/>
            </a:rPr>
            <a:t>     *   REFERENCE MODEL </a:t>
          </a:r>
          <a:r>
            <a:rPr lang="en-US" altLang="ja-JP" sz="1000" b="1" i="0" u="none" strike="noStrike" baseline="0">
              <a:solidFill>
                <a:srgbClr val="002060"/>
              </a:solidFill>
              <a:latin typeface="Arial" pitchFamily="34" charset="0"/>
              <a:cs typeface="Arial" pitchFamily="34" charset="0"/>
            </a:rPr>
            <a:t>to</a:t>
          </a:r>
          <a:r>
            <a:rPr lang="en-US" altLang="ja-JP" sz="1000" b="0" i="0" u="none" strike="noStrike" baseline="0">
              <a:solidFill>
                <a:srgbClr val="002060"/>
              </a:solidFill>
              <a:latin typeface="Arial" pitchFamily="34" charset="0"/>
              <a:cs typeface="Arial" pitchFamily="34" charset="0"/>
            </a:rPr>
            <a:t> PROTOTYPE</a:t>
          </a:r>
        </a:p>
        <a:p>
          <a:pPr algn="l" rtl="0">
            <a:defRPr sz="1000"/>
          </a:pPr>
          <a:r>
            <a:rPr lang="en-US" altLang="ja-JP" sz="1000" b="0" i="0" u="none" strike="noStrike" baseline="0">
              <a:solidFill>
                <a:srgbClr val="002060"/>
              </a:solidFill>
              <a:latin typeface="Arial" pitchFamily="34" charset="0"/>
              <a:cs typeface="Arial" pitchFamily="34" charset="0"/>
            </a:rPr>
            <a:t>                             (STEP 2):                                 	  </a:t>
          </a:r>
          <a:r>
            <a:rPr lang="en-US" altLang="ja-JP" sz="1100" b="0" i="0" u="none" strike="noStrike" baseline="0">
              <a:solidFill>
                <a:srgbClr val="002060"/>
              </a:solidFill>
              <a:latin typeface="Arial" pitchFamily="34" charset="0"/>
              <a:cs typeface="Arial" pitchFamily="34" charset="0"/>
            </a:rPr>
            <a:t>Ic = 2</a:t>
          </a:r>
        </a:p>
        <a:p>
          <a:pPr rtl="0" fontAlgn="base"/>
          <a:r>
            <a:rPr lang="en-US" altLang="ja-JP" sz="1000" b="1" i="0" u="none" strike="noStrike" baseline="0">
              <a:solidFill>
                <a:srgbClr val="002060"/>
              </a:solidFill>
              <a:latin typeface="Arial" pitchFamily="34" charset="0"/>
              <a:cs typeface="Arial" pitchFamily="34" charset="0"/>
            </a:rPr>
            <a:t> </a:t>
          </a:r>
          <a:r>
            <a:rPr lang="en-US" sz="1100" b="1" i="0" baseline="0">
              <a:solidFill>
                <a:srgbClr val="002060"/>
              </a:solidFill>
              <a:latin typeface="Arial" pitchFamily="34" charset="0"/>
              <a:ea typeface="+mn-ea"/>
              <a:cs typeface="Arial" pitchFamily="34" charset="0"/>
            </a:rPr>
            <a:t>-   Alternative one step method for the optimum point:   </a:t>
          </a:r>
          <a:r>
            <a:rPr lang="en-US" sz="1100" b="0" i="0" baseline="0">
              <a:solidFill>
                <a:srgbClr val="002060"/>
              </a:solidFill>
              <a:latin typeface="Arial" pitchFamily="34" charset="0"/>
              <a:ea typeface="+mn-ea"/>
              <a:cs typeface="Arial" pitchFamily="34" charset="0"/>
            </a:rPr>
            <a:t>Ic = 3</a:t>
          </a:r>
        </a:p>
      </xdr:txBody>
    </xdr:sp>
    <xdr:clientData/>
  </xdr:twoCellAnchor>
  <xdr:twoCellAnchor>
    <xdr:from>
      <xdr:col>5</xdr:col>
      <xdr:colOff>285750</xdr:colOff>
      <xdr:row>96</xdr:row>
      <xdr:rowOff>209550</xdr:rowOff>
    </xdr:from>
    <xdr:to>
      <xdr:col>5</xdr:col>
      <xdr:colOff>371475</xdr:colOff>
      <xdr:row>101</xdr:row>
      <xdr:rowOff>161925</xdr:rowOff>
    </xdr:to>
    <xdr:sp macro="" textlink="">
      <xdr:nvSpPr>
        <xdr:cNvPr id="5" name="AutoShape 3">
          <a:extLst>
            <a:ext uri="{FF2B5EF4-FFF2-40B4-BE49-F238E27FC236}">
              <a16:creationId xmlns:a16="http://schemas.microsoft.com/office/drawing/2014/main" xmlns="" id="{00000000-0008-0000-0100-000005000000}"/>
            </a:ext>
          </a:extLst>
        </xdr:cNvPr>
        <xdr:cNvSpPr>
          <a:spLocks/>
        </xdr:cNvSpPr>
      </xdr:nvSpPr>
      <xdr:spPr bwMode="auto">
        <a:xfrm>
          <a:off x="4629150" y="23079075"/>
          <a:ext cx="85725" cy="1409700"/>
        </a:xfrm>
        <a:prstGeom prst="rightBrace">
          <a:avLst>
            <a:gd name="adj1" fmla="val 108333"/>
            <a:gd name="adj2" fmla="val 50000"/>
          </a:avLst>
        </a:prstGeom>
        <a:noFill/>
        <a:ln w="9525">
          <a:solidFill>
            <a:srgbClr val="000000"/>
          </a:solidFill>
          <a:round/>
          <a:headEnd/>
          <a:tailEnd/>
        </a:ln>
      </xdr:spPr>
    </xdr:sp>
    <xdr:clientData/>
  </xdr:twoCellAnchor>
  <xdr:twoCellAnchor editAs="oneCell">
    <xdr:from>
      <xdr:col>0</xdr:col>
      <xdr:colOff>1</xdr:colOff>
      <xdr:row>0</xdr:row>
      <xdr:rowOff>0</xdr:rowOff>
    </xdr:from>
    <xdr:to>
      <xdr:col>0</xdr:col>
      <xdr:colOff>609601</xdr:colOff>
      <xdr:row>2</xdr:row>
      <xdr:rowOff>9541</xdr:rowOff>
    </xdr:to>
    <xdr:pic>
      <xdr:nvPicPr>
        <xdr:cNvPr id="7" name="Picture 32">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609600" cy="56199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14</xdr:col>
          <xdr:colOff>127000</xdr:colOff>
          <xdr:row>13</xdr:row>
          <xdr:rowOff>57150</xdr:rowOff>
        </xdr:from>
        <xdr:to>
          <xdr:col>22</xdr:col>
          <xdr:colOff>1200150</xdr:colOff>
          <xdr:row>68</xdr:row>
          <xdr:rowOff>88900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69</xdr:row>
          <xdr:rowOff>133350</xdr:rowOff>
        </xdr:from>
        <xdr:to>
          <xdr:col>22</xdr:col>
          <xdr:colOff>1085850</xdr:colOff>
          <xdr:row>110</xdr:row>
          <xdr:rowOff>57150</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102862</xdr:colOff>
      <xdr:row>25</xdr:row>
      <xdr:rowOff>35902</xdr:rowOff>
    </xdr:from>
    <xdr:to>
      <xdr:col>10</xdr:col>
      <xdr:colOff>167472</xdr:colOff>
      <xdr:row>29</xdr:row>
      <xdr:rowOff>121627</xdr:rowOff>
    </xdr:to>
    <xdr:sp macro="" textlink="">
      <xdr:nvSpPr>
        <xdr:cNvPr id="2" name="Text Box 50">
          <a:extLst>
            <a:ext uri="{FF2B5EF4-FFF2-40B4-BE49-F238E27FC236}">
              <a16:creationId xmlns:a16="http://schemas.microsoft.com/office/drawing/2014/main" xmlns="" id="{00000000-0008-0000-0200-000002000000}"/>
            </a:ext>
          </a:extLst>
        </xdr:cNvPr>
        <xdr:cNvSpPr txBox="1">
          <a:spLocks noChangeArrowheads="1"/>
        </xdr:cNvSpPr>
      </xdr:nvSpPr>
      <xdr:spPr bwMode="auto">
        <a:xfrm>
          <a:off x="11726386" y="4390188"/>
          <a:ext cx="3378705" cy="726772"/>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altLang="ja-JP" sz="1300" b="0" i="1" u="none" strike="noStrike" baseline="0">
              <a:solidFill>
                <a:srgbClr val="000000"/>
              </a:solidFill>
              <a:latin typeface="Arial" pitchFamily="34" charset="0"/>
              <a:cs typeface="Arial" pitchFamily="34" charset="0"/>
            </a:rPr>
            <a:t>P</a:t>
          </a:r>
          <a:r>
            <a:rPr lang="en-US" altLang="ja-JP" sz="1300" b="0" i="0" u="none" strike="noStrike" baseline="-25000">
              <a:solidFill>
                <a:srgbClr val="000000"/>
              </a:solidFill>
              <a:latin typeface="Arial" pitchFamily="34" charset="0"/>
              <a:cs typeface="Arial" pitchFamily="34" charset="0"/>
            </a:rPr>
            <a:t>mM*</a:t>
          </a:r>
          <a:r>
            <a:rPr lang="en-US" altLang="ja-JP" sz="1300" b="0" i="0" u="none" strike="noStrike" baseline="0">
              <a:solidFill>
                <a:srgbClr val="000000"/>
              </a:solidFill>
              <a:latin typeface="Arial" pitchFamily="34" charset="0"/>
              <a:cs typeface="Arial" pitchFamily="34" charset="0"/>
            </a:rPr>
            <a:t> is calculated by the following formula.</a:t>
          </a:r>
        </a:p>
        <a:p>
          <a:pPr algn="l" rtl="0">
            <a:defRPr sz="1000"/>
          </a:pPr>
          <a:r>
            <a:rPr lang="en-US" altLang="ja-JP" sz="1300" b="0" i="1" u="none" strike="noStrike" baseline="0">
              <a:solidFill>
                <a:srgbClr val="000000"/>
              </a:solidFill>
              <a:latin typeface="Arial" pitchFamily="34" charset="0"/>
              <a:cs typeface="Arial" pitchFamily="34" charset="0"/>
            </a:rPr>
            <a:t>P</a:t>
          </a:r>
          <a:r>
            <a:rPr lang="en-US" altLang="ja-JP" sz="1300" b="0" i="0" u="none" strike="noStrike" baseline="-25000">
              <a:solidFill>
                <a:srgbClr val="000000"/>
              </a:solidFill>
              <a:latin typeface="Arial" pitchFamily="34" charset="0"/>
              <a:cs typeface="Arial" pitchFamily="34" charset="0"/>
            </a:rPr>
            <a:t>mM*</a:t>
          </a:r>
          <a:r>
            <a:rPr lang="en-US" altLang="ja-JP" sz="1300" b="0" i="0" u="none" strike="noStrike" baseline="0">
              <a:solidFill>
                <a:srgbClr val="000000"/>
              </a:solidFill>
              <a:latin typeface="Arial" pitchFamily="34" charset="0"/>
              <a:cs typeface="Arial" pitchFamily="34" charset="0"/>
            </a:rPr>
            <a:t> = </a:t>
          </a:r>
          <a:r>
            <a:rPr lang="el-GR" altLang="ja-JP" sz="1300" b="0" i="1" u="none" strike="noStrike" baseline="0">
              <a:solidFill>
                <a:srgbClr val="000000"/>
              </a:solidFill>
              <a:latin typeface="Calibri"/>
              <a:cs typeface="Calibri"/>
            </a:rPr>
            <a:t>ρ</a:t>
          </a:r>
          <a:r>
            <a:rPr lang="en-US" altLang="ja-JP" sz="1300" b="0" i="0" u="none" strike="noStrike" baseline="-25000">
              <a:solidFill>
                <a:srgbClr val="000000"/>
              </a:solidFill>
              <a:latin typeface="Arial" pitchFamily="34" charset="0"/>
              <a:cs typeface="Arial" pitchFamily="34" charset="0"/>
            </a:rPr>
            <a:t>M*</a:t>
          </a:r>
          <a:r>
            <a:rPr lang="en-US" altLang="ja-JP" sz="1300" b="0" i="0" u="none" strike="noStrike" baseline="0">
              <a:solidFill>
                <a:srgbClr val="000000"/>
              </a:solidFill>
              <a:latin typeface="Arial" pitchFamily="34" charset="0"/>
              <a:cs typeface="Arial" pitchFamily="34" charset="0"/>
            </a:rPr>
            <a:t> </a:t>
          </a:r>
          <a:r>
            <a:rPr lang="en-US" altLang="ja-JP" sz="1300" b="0" i="1" u="none" strike="noStrike" baseline="0">
              <a:solidFill>
                <a:srgbClr val="000000"/>
              </a:solidFill>
              <a:latin typeface="Arial" pitchFamily="34" charset="0"/>
              <a:cs typeface="Arial" pitchFamily="34" charset="0"/>
            </a:rPr>
            <a:t>E</a:t>
          </a:r>
          <a:r>
            <a:rPr lang="en-US" altLang="ja-JP" sz="1300" b="0" i="0" u="none" strike="noStrike" baseline="-25000">
              <a:solidFill>
                <a:srgbClr val="000000"/>
              </a:solidFill>
              <a:latin typeface="Arial" pitchFamily="34" charset="0"/>
              <a:cs typeface="Arial" pitchFamily="34" charset="0"/>
            </a:rPr>
            <a:t>mM*</a:t>
          </a:r>
          <a:r>
            <a:rPr lang="en-US" altLang="ja-JP" sz="1300" b="0" i="0" u="none" strike="noStrike" baseline="0">
              <a:solidFill>
                <a:srgbClr val="000000"/>
              </a:solidFill>
              <a:latin typeface="Arial" pitchFamily="34" charset="0"/>
              <a:cs typeface="Arial" pitchFamily="34" charset="0"/>
            </a:rPr>
            <a:t> </a:t>
          </a:r>
          <a:r>
            <a:rPr lang="en-US" altLang="ja-JP" sz="1300" b="0" i="1" u="none" strike="noStrike" baseline="0">
              <a:solidFill>
                <a:srgbClr val="000000"/>
              </a:solidFill>
              <a:latin typeface="Arial" pitchFamily="34" charset="0"/>
              <a:cs typeface="Arial" pitchFamily="34" charset="0"/>
            </a:rPr>
            <a:t>Q</a:t>
          </a:r>
          <a:r>
            <a:rPr lang="en-US" altLang="ja-JP" sz="1300" b="0" i="0" u="none" strike="noStrike" baseline="-25000">
              <a:solidFill>
                <a:srgbClr val="000000"/>
              </a:solidFill>
              <a:latin typeface="Arial" pitchFamily="34" charset="0"/>
              <a:cs typeface="Arial" pitchFamily="34" charset="0"/>
            </a:rPr>
            <a:t>1M*</a:t>
          </a:r>
          <a:r>
            <a:rPr lang="en-US" altLang="ja-JP" sz="1300" b="0" i="0" u="none" strike="noStrike" baseline="0">
              <a:solidFill>
                <a:srgbClr val="000000"/>
              </a:solidFill>
              <a:latin typeface="Arial" pitchFamily="34" charset="0"/>
              <a:cs typeface="Arial" pitchFamily="34" charset="0"/>
            </a:rPr>
            <a:t> </a:t>
          </a:r>
          <a:r>
            <a:rPr lang="en-US" altLang="ja-JP" sz="1300" b="0" i="1" u="none" strike="noStrike" baseline="0">
              <a:solidFill>
                <a:srgbClr val="000000"/>
              </a:solidFill>
              <a:latin typeface="Arial" pitchFamily="34" charset="0"/>
              <a:cs typeface="Arial" pitchFamily="34" charset="0"/>
            </a:rPr>
            <a:t>ɳ</a:t>
          </a:r>
          <a:r>
            <a:rPr lang="en-US" altLang="ja-JP" sz="1300" b="0" i="0" u="none" strike="noStrike" baseline="-25000">
              <a:solidFill>
                <a:srgbClr val="000000"/>
              </a:solidFill>
              <a:latin typeface="Arial" pitchFamily="34" charset="0"/>
              <a:cs typeface="Arial" pitchFamily="34" charset="0"/>
            </a:rPr>
            <a:t>hM*</a:t>
          </a:r>
          <a:r>
            <a:rPr lang="en-US" altLang="ja-JP" sz="1300" b="0" i="0" u="none" strike="noStrike" baseline="0">
              <a:solidFill>
                <a:srgbClr val="000000"/>
              </a:solidFill>
              <a:latin typeface="Arial" pitchFamily="34" charset="0"/>
              <a:cs typeface="Arial" pitchFamily="34" charset="0"/>
            </a:rPr>
            <a:t>    (Turbine)</a:t>
          </a:r>
        </a:p>
        <a:p>
          <a:pPr algn="l" rtl="0">
            <a:defRPr sz="1000"/>
          </a:pPr>
          <a:r>
            <a:rPr lang="en-US" altLang="ja-JP" sz="1300" b="0" i="1" u="none" strike="noStrike" baseline="0">
              <a:solidFill>
                <a:srgbClr val="000000"/>
              </a:solidFill>
              <a:latin typeface="Arial" pitchFamily="34" charset="0"/>
              <a:cs typeface="Arial" pitchFamily="34" charset="0"/>
            </a:rPr>
            <a:t>P</a:t>
          </a:r>
          <a:r>
            <a:rPr lang="en-US" altLang="ja-JP" sz="1300" b="0" i="0" u="none" strike="noStrike" baseline="-25000">
              <a:solidFill>
                <a:srgbClr val="000000"/>
              </a:solidFill>
              <a:latin typeface="Arial" pitchFamily="34" charset="0"/>
              <a:cs typeface="Arial" pitchFamily="34" charset="0"/>
            </a:rPr>
            <a:t>mM*</a:t>
          </a:r>
          <a:r>
            <a:rPr lang="en-US" altLang="ja-JP" sz="1300" b="0" i="0" u="none" strike="noStrike" baseline="0">
              <a:solidFill>
                <a:srgbClr val="000000"/>
              </a:solidFill>
              <a:latin typeface="Arial" pitchFamily="34" charset="0"/>
              <a:cs typeface="Arial" pitchFamily="34" charset="0"/>
            </a:rPr>
            <a:t> = </a:t>
          </a:r>
          <a:r>
            <a:rPr lang="el-GR" sz="1300" b="0" i="1" baseline="0">
              <a:latin typeface="+mn-lt"/>
              <a:ea typeface="+mn-ea"/>
              <a:cs typeface="+mn-cs"/>
            </a:rPr>
            <a:t>ρ</a:t>
          </a:r>
          <a:r>
            <a:rPr lang="en-US" altLang="ja-JP" sz="1300" b="0" i="0" u="none" strike="noStrike" baseline="-25000">
              <a:solidFill>
                <a:srgbClr val="000000"/>
              </a:solidFill>
              <a:latin typeface="Arial" pitchFamily="34" charset="0"/>
              <a:cs typeface="Arial" pitchFamily="34" charset="0"/>
            </a:rPr>
            <a:t>M* </a:t>
          </a:r>
          <a:r>
            <a:rPr lang="en-US" altLang="ja-JP" sz="1300" b="0" i="1" u="none" strike="noStrike" baseline="0">
              <a:solidFill>
                <a:srgbClr val="000000"/>
              </a:solidFill>
              <a:latin typeface="Arial" pitchFamily="34" charset="0"/>
              <a:cs typeface="Arial" pitchFamily="34" charset="0"/>
            </a:rPr>
            <a:t>E</a:t>
          </a:r>
          <a:r>
            <a:rPr lang="en-US" altLang="ja-JP" sz="1300" b="0" i="0" u="none" strike="noStrike" baseline="-25000">
              <a:solidFill>
                <a:srgbClr val="000000"/>
              </a:solidFill>
              <a:latin typeface="Arial" pitchFamily="34" charset="0"/>
              <a:cs typeface="Arial" pitchFamily="34" charset="0"/>
            </a:rPr>
            <a:t>mM*</a:t>
          </a:r>
          <a:r>
            <a:rPr lang="en-US" altLang="ja-JP" sz="1300" b="0" i="0" u="none" strike="noStrike" baseline="0">
              <a:solidFill>
                <a:srgbClr val="000000"/>
              </a:solidFill>
              <a:latin typeface="Arial" pitchFamily="34" charset="0"/>
              <a:cs typeface="Arial" pitchFamily="34" charset="0"/>
            </a:rPr>
            <a:t> </a:t>
          </a:r>
          <a:r>
            <a:rPr lang="en-US" altLang="ja-JP" sz="1300" b="0" i="1" u="none" strike="noStrike" baseline="0">
              <a:solidFill>
                <a:srgbClr val="000000"/>
              </a:solidFill>
              <a:latin typeface="Arial" pitchFamily="34" charset="0"/>
              <a:cs typeface="Arial" pitchFamily="34" charset="0"/>
            </a:rPr>
            <a:t>Q</a:t>
          </a:r>
          <a:r>
            <a:rPr lang="en-US" altLang="ja-JP" sz="1300" b="0" i="0" u="none" strike="noStrike" baseline="-25000">
              <a:solidFill>
                <a:srgbClr val="000000"/>
              </a:solidFill>
              <a:latin typeface="Arial" pitchFamily="34" charset="0"/>
              <a:cs typeface="Arial" pitchFamily="34" charset="0"/>
            </a:rPr>
            <a:t>1M* </a:t>
          </a:r>
          <a:r>
            <a:rPr lang="en-US" altLang="ja-JP" sz="1300" b="0" i="0" u="none" strike="noStrike" baseline="0">
              <a:solidFill>
                <a:srgbClr val="000000"/>
              </a:solidFill>
              <a:latin typeface="Arial" pitchFamily="34" charset="0"/>
              <a:cs typeface="Arial" pitchFamily="34" charset="0"/>
            </a:rPr>
            <a:t>/ </a:t>
          </a:r>
          <a:r>
            <a:rPr lang="en-US" sz="1600" b="0" i="1" baseline="0">
              <a:effectLst/>
              <a:latin typeface="+mn-lt"/>
              <a:ea typeface="+mn-ea"/>
              <a:cs typeface="+mn-cs"/>
            </a:rPr>
            <a:t>ɳ</a:t>
          </a:r>
          <a:r>
            <a:rPr lang="en-US" altLang="ja-JP" sz="1300" b="0" i="0" u="none" strike="noStrike" baseline="-25000">
              <a:solidFill>
                <a:srgbClr val="000000"/>
              </a:solidFill>
              <a:latin typeface="Arial" pitchFamily="34" charset="0"/>
              <a:cs typeface="Arial" pitchFamily="34" charset="0"/>
            </a:rPr>
            <a:t>hM*</a:t>
          </a:r>
          <a:r>
            <a:rPr lang="en-US" altLang="ja-JP" sz="1300" b="0" i="0" u="none" strike="noStrike" baseline="0">
              <a:solidFill>
                <a:srgbClr val="000000"/>
              </a:solidFill>
              <a:latin typeface="Arial" pitchFamily="34" charset="0"/>
              <a:cs typeface="Arial" pitchFamily="34" charset="0"/>
            </a:rPr>
            <a:t>    (Pump)</a:t>
          </a:r>
        </a:p>
      </xdr:txBody>
    </xdr:sp>
    <xdr:clientData/>
  </xdr:twoCellAnchor>
  <xdr:twoCellAnchor editAs="oneCell">
    <xdr:from>
      <xdr:col>0</xdr:col>
      <xdr:colOff>95251</xdr:colOff>
      <xdr:row>0</xdr:row>
      <xdr:rowOff>0</xdr:rowOff>
    </xdr:from>
    <xdr:to>
      <xdr:col>1</xdr:col>
      <xdr:colOff>401412</xdr:colOff>
      <xdr:row>2</xdr:row>
      <xdr:rowOff>134600</xdr:rowOff>
    </xdr:to>
    <xdr:pic>
      <xdr:nvPicPr>
        <xdr:cNvPr id="4" name="Picture 32">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1" y="0"/>
          <a:ext cx="628650" cy="57955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32</xdr:row>
      <xdr:rowOff>95250</xdr:rowOff>
    </xdr:from>
    <xdr:to>
      <xdr:col>11</xdr:col>
      <xdr:colOff>76200</xdr:colOff>
      <xdr:row>34</xdr:row>
      <xdr:rowOff>9525</xdr:rowOff>
    </xdr:to>
    <xdr:sp macro="" textlink="">
      <xdr:nvSpPr>
        <xdr:cNvPr id="5" name="Text Box 9">
          <a:extLst>
            <a:ext uri="{FF2B5EF4-FFF2-40B4-BE49-F238E27FC236}">
              <a16:creationId xmlns:a16="http://schemas.microsoft.com/office/drawing/2014/main" xmlns="" id="{00000000-0008-0000-0300-000005000000}"/>
            </a:ext>
          </a:extLst>
        </xdr:cNvPr>
        <xdr:cNvSpPr txBox="1">
          <a:spLocks noChangeArrowheads="1"/>
        </xdr:cNvSpPr>
      </xdr:nvSpPr>
      <xdr:spPr bwMode="auto">
        <a:xfrm>
          <a:off x="7334250" y="7105650"/>
          <a:ext cx="76200" cy="219075"/>
        </a:xfrm>
        <a:prstGeom prst="rect">
          <a:avLst/>
        </a:prstGeom>
        <a:noFill/>
        <a:ln w="9525">
          <a:noFill/>
          <a:miter lim="800000"/>
          <a:headEnd/>
          <a:tailEnd/>
        </a:ln>
      </xdr:spPr>
    </xdr:sp>
    <xdr:clientData/>
  </xdr:twoCellAnchor>
  <xdr:twoCellAnchor editAs="oneCell">
    <xdr:from>
      <xdr:col>0</xdr:col>
      <xdr:colOff>104775</xdr:colOff>
      <xdr:row>0</xdr:row>
      <xdr:rowOff>28575</xdr:rowOff>
    </xdr:from>
    <xdr:to>
      <xdr:col>1</xdr:col>
      <xdr:colOff>396875</xdr:colOff>
      <xdr:row>3</xdr:row>
      <xdr:rowOff>17433</xdr:rowOff>
    </xdr:to>
    <xdr:pic>
      <xdr:nvPicPr>
        <xdr:cNvPr id="6" name="Picture 32">
          <a:extLst>
            <a:ext uri="{FF2B5EF4-FFF2-40B4-BE49-F238E27FC236}">
              <a16:creationId xmlns:a16="http://schemas.microsoft.com/office/drawing/2014/main" xmlns=""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28575"/>
          <a:ext cx="752475" cy="69370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209550</xdr:colOff>
      <xdr:row>17</xdr:row>
      <xdr:rowOff>19050</xdr:rowOff>
    </xdr:from>
    <xdr:to>
      <xdr:col>9</xdr:col>
      <xdr:colOff>161925</xdr:colOff>
      <xdr:row>26</xdr:row>
      <xdr:rowOff>209550</xdr:rowOff>
    </xdr:to>
    <xdr:sp macro="" textlink="">
      <xdr:nvSpPr>
        <xdr:cNvPr id="2" name="Text Box 2">
          <a:extLst>
            <a:ext uri="{FF2B5EF4-FFF2-40B4-BE49-F238E27FC236}">
              <a16:creationId xmlns:a16="http://schemas.microsoft.com/office/drawing/2014/main" xmlns="" id="{00000000-0008-0000-0400-000002000000}"/>
            </a:ext>
          </a:extLst>
        </xdr:cNvPr>
        <xdr:cNvSpPr txBox="1">
          <a:spLocks noChangeArrowheads="1"/>
        </xdr:cNvSpPr>
      </xdr:nvSpPr>
      <xdr:spPr bwMode="auto">
        <a:xfrm>
          <a:off x="7200900" y="2533650"/>
          <a:ext cx="2085975" cy="2009775"/>
        </a:xfrm>
        <a:prstGeom prst="rect">
          <a:avLst/>
        </a:prstGeom>
        <a:solidFill>
          <a:srgbClr val="FFFFFF"/>
        </a:solidFill>
        <a:ln w="9525">
          <a:noFill/>
          <a:miter lim="800000"/>
          <a:headEnd/>
          <a:tailEnd/>
        </a:ln>
      </xdr:spPr>
      <xdr:txBody>
        <a:bodyPr vertOverflow="clip" wrap="square" lIns="108000" tIns="46800" rIns="90000" bIns="46800" anchor="t" upright="1"/>
        <a:lstStyle/>
        <a:p>
          <a:pPr algn="l" rtl="0">
            <a:defRPr sz="1000"/>
          </a:pPr>
          <a:r>
            <a:rPr lang="en-US" altLang="ja-JP" sz="1000" b="1" i="0" u="none" strike="noStrike" baseline="0">
              <a:solidFill>
                <a:srgbClr val="002060"/>
              </a:solidFill>
              <a:latin typeface="Arial"/>
              <a:cs typeface="Arial"/>
            </a:rPr>
            <a:t>NOTE 1</a:t>
          </a:r>
        </a:p>
        <a:p>
          <a:pPr algn="l" rtl="0">
            <a:defRPr sz="1000"/>
          </a:pPr>
          <a:r>
            <a:rPr lang="en-US" altLang="ja-JP" sz="1000" b="0" i="0" u="none" strike="noStrike" baseline="0">
              <a:solidFill>
                <a:srgbClr val="000000"/>
              </a:solidFill>
              <a:latin typeface="Arial"/>
              <a:cs typeface="Arial"/>
            </a:rPr>
            <a:t>See Annex D for the detail of the calculation for step-up of power efficiency.</a:t>
          </a:r>
        </a:p>
        <a:p>
          <a:pPr algn="l" rtl="0">
            <a:defRPr sz="1000"/>
          </a:pPr>
          <a:r>
            <a:rPr lang="en-US" altLang="ja-JP" sz="1000" b="0" i="0" u="none" strike="noStrike" baseline="0">
              <a:solidFill>
                <a:srgbClr val="000000"/>
              </a:solidFill>
              <a:latin typeface="Arial"/>
              <a:cs typeface="Arial"/>
            </a:rPr>
            <a:t>In case of axial flow machines, the calculations given in this work sheet is not applicable.</a:t>
          </a:r>
        </a:p>
        <a:p>
          <a:pPr algn="l" rtl="0">
            <a:defRPr sz="1000"/>
          </a:pPr>
          <a:endParaRPr lang="en-US" altLang="ja-JP" sz="1000" b="0" i="0" u="none" strike="noStrike" baseline="0">
            <a:solidFill>
              <a:srgbClr val="000000"/>
            </a:solidFill>
            <a:latin typeface="Arial"/>
            <a:cs typeface="Arial"/>
          </a:endParaRPr>
        </a:p>
        <a:p>
          <a:pPr algn="l" rtl="0">
            <a:defRPr sz="1000"/>
          </a:pPr>
          <a:r>
            <a:rPr lang="en-US" altLang="ja-JP" sz="1000" b="0" i="1" u="none" strike="noStrike" baseline="0">
              <a:solidFill>
                <a:srgbClr val="000000"/>
              </a:solidFill>
              <a:latin typeface="Arial"/>
              <a:cs typeface="Arial"/>
            </a:rPr>
            <a:t>Ra</a:t>
          </a:r>
          <a:r>
            <a:rPr lang="en-US" altLang="ja-JP" sz="1000" b="0" i="0" u="none" strike="noStrike" baseline="-25000">
              <a:solidFill>
                <a:srgbClr val="000000"/>
              </a:solidFill>
              <a:latin typeface="Arial"/>
              <a:cs typeface="Arial"/>
            </a:rPr>
            <a:t>TA</a:t>
          </a:r>
          <a:r>
            <a:rPr lang="en-US" altLang="ja-JP" sz="1000" b="0" i="0" u="none" strike="noStrike" baseline="0">
              <a:solidFill>
                <a:srgbClr val="000000"/>
              </a:solidFill>
              <a:latin typeface="Arial"/>
              <a:cs typeface="Arial"/>
            </a:rPr>
            <a:t> and </a:t>
          </a:r>
          <a:r>
            <a:rPr lang="en-US" altLang="ja-JP" sz="1000" b="0" i="1" u="none" strike="noStrike" baseline="0">
              <a:solidFill>
                <a:srgbClr val="000000"/>
              </a:solidFill>
              <a:latin typeface="Arial"/>
              <a:cs typeface="Arial"/>
            </a:rPr>
            <a:t>Ra</a:t>
          </a:r>
          <a:r>
            <a:rPr lang="en-US" altLang="ja-JP" sz="1000" b="0" i="0" u="none" strike="noStrike" baseline="-25000">
              <a:solidFill>
                <a:srgbClr val="000000"/>
              </a:solidFill>
              <a:latin typeface="Arial"/>
              <a:cs typeface="Arial"/>
            </a:rPr>
            <a:t>TB</a:t>
          </a:r>
          <a:r>
            <a:rPr lang="en-US" altLang="ja-JP" sz="1000" b="0" i="0" u="none" strike="noStrike" baseline="0">
              <a:solidFill>
                <a:srgbClr val="000000"/>
              </a:solidFill>
              <a:latin typeface="Arial"/>
              <a:cs typeface="Arial"/>
            </a:rPr>
            <a:t> are the weighted mean of </a:t>
          </a:r>
          <a:r>
            <a:rPr lang="en-US" altLang="ja-JP" sz="1000" b="0" i="1" u="none" strike="noStrike" baseline="0">
              <a:solidFill>
                <a:srgbClr val="000000"/>
              </a:solidFill>
              <a:latin typeface="Arial"/>
              <a:cs typeface="Arial"/>
            </a:rPr>
            <a:t>Ra</a:t>
          </a:r>
          <a:r>
            <a:rPr lang="en-US" altLang="ja-JP" sz="1000" b="0" i="0" u="none" strike="noStrike" baseline="-25000">
              <a:solidFill>
                <a:srgbClr val="000000"/>
              </a:solidFill>
              <a:latin typeface="Arial"/>
              <a:cs typeface="Arial"/>
            </a:rPr>
            <a:t>TR</a:t>
          </a:r>
          <a:r>
            <a:rPr lang="en-US" altLang="ja-JP" sz="1000" b="0" i="0" u="none" strike="noStrike" baseline="0">
              <a:solidFill>
                <a:srgbClr val="000000"/>
              </a:solidFill>
              <a:latin typeface="Arial"/>
              <a:cs typeface="Arial"/>
            </a:rPr>
            <a:t> and </a:t>
          </a:r>
          <a:r>
            <a:rPr lang="en-US" altLang="ja-JP" sz="1000" b="0" i="1" u="none" strike="noStrike" baseline="0">
              <a:solidFill>
                <a:srgbClr val="000000"/>
              </a:solidFill>
              <a:latin typeface="Arial"/>
              <a:cs typeface="Arial"/>
            </a:rPr>
            <a:t>Ra</a:t>
          </a:r>
          <a:r>
            <a:rPr lang="en-US" altLang="ja-JP" sz="1000" b="0" i="0" u="none" strike="noStrike" baseline="-25000">
              <a:solidFill>
                <a:srgbClr val="000000"/>
              </a:solidFill>
              <a:latin typeface="Arial"/>
              <a:cs typeface="Arial"/>
            </a:rPr>
            <a:t>TS</a:t>
          </a:r>
          <a:r>
            <a:rPr lang="en-US" altLang="ja-JP" sz="1000" b="0" i="0" u="none" strike="noStrike" baseline="0">
              <a:solidFill>
                <a:srgbClr val="000000"/>
              </a:solidFill>
              <a:latin typeface="Arial"/>
              <a:cs typeface="Arial"/>
            </a:rPr>
            <a:t> of the Turbine A and Turbine B, respectively.</a:t>
          </a:r>
        </a:p>
      </xdr:txBody>
    </xdr:sp>
    <xdr:clientData/>
  </xdr:twoCellAnchor>
  <xdr:twoCellAnchor editAs="oneCell">
    <xdr:from>
      <xdr:col>0</xdr:col>
      <xdr:colOff>104775</xdr:colOff>
      <xdr:row>0</xdr:row>
      <xdr:rowOff>0</xdr:rowOff>
    </xdr:from>
    <xdr:to>
      <xdr:col>1</xdr:col>
      <xdr:colOff>465365</xdr:colOff>
      <xdr:row>2</xdr:row>
      <xdr:rowOff>188484</xdr:rowOff>
    </xdr:to>
    <xdr:pic>
      <xdr:nvPicPr>
        <xdr:cNvPr id="5" name="Picture 32">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0"/>
          <a:ext cx="676275" cy="62345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1</xdr:col>
      <xdr:colOff>390525</xdr:colOff>
      <xdr:row>3</xdr:row>
      <xdr:rowOff>26958</xdr:rowOff>
    </xdr:to>
    <xdr:pic>
      <xdr:nvPicPr>
        <xdr:cNvPr id="9" name="Picture 32">
          <a:extLst>
            <a:ext uri="{FF2B5EF4-FFF2-40B4-BE49-F238E27FC236}">
              <a16:creationId xmlns:a16="http://schemas.microsoft.com/office/drawing/2014/main" xmlns="" id="{00000000-0008-0000-05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752475" cy="69370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11</xdr:col>
          <xdr:colOff>57150</xdr:colOff>
          <xdr:row>0</xdr:row>
          <xdr:rowOff>0</xdr:rowOff>
        </xdr:from>
        <xdr:to>
          <xdr:col>18</xdr:col>
          <xdr:colOff>666750</xdr:colOff>
          <xdr:row>50</xdr:row>
          <xdr:rowOff>95250</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51</xdr:row>
          <xdr:rowOff>107950</xdr:rowOff>
        </xdr:from>
        <xdr:to>
          <xdr:col>19</xdr:col>
          <xdr:colOff>38100</xdr:colOff>
          <xdr:row>84</xdr:row>
          <xdr:rowOff>19050</xdr:rowOff>
        </xdr:to>
        <xdr:sp macro="" textlink="">
          <xdr:nvSpPr>
            <xdr:cNvPr id="8194" name="Object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11</xdr:col>
      <xdr:colOff>0</xdr:colOff>
      <xdr:row>29</xdr:row>
      <xdr:rowOff>95250</xdr:rowOff>
    </xdr:from>
    <xdr:to>
      <xdr:col>11</xdr:col>
      <xdr:colOff>76200</xdr:colOff>
      <xdr:row>31</xdr:row>
      <xdr:rowOff>9525</xdr:rowOff>
    </xdr:to>
    <xdr:sp macro="" textlink="">
      <xdr:nvSpPr>
        <xdr:cNvPr id="2" name="Text Box 9">
          <a:extLst>
            <a:ext uri="{FF2B5EF4-FFF2-40B4-BE49-F238E27FC236}">
              <a16:creationId xmlns:a16="http://schemas.microsoft.com/office/drawing/2014/main" xmlns="" id="{00000000-0008-0000-0600-000002000000}"/>
            </a:ext>
          </a:extLst>
        </xdr:cNvPr>
        <xdr:cNvSpPr txBox="1">
          <a:spLocks noChangeArrowheads="1"/>
        </xdr:cNvSpPr>
      </xdr:nvSpPr>
      <xdr:spPr bwMode="auto">
        <a:xfrm>
          <a:off x="8420100" y="6518910"/>
          <a:ext cx="76200" cy="226695"/>
        </a:xfrm>
        <a:prstGeom prst="rect">
          <a:avLst/>
        </a:prstGeom>
        <a:noFill/>
        <a:ln w="9525">
          <a:noFill/>
          <a:miter lim="800000"/>
          <a:headEnd/>
          <a:tailEnd/>
        </a:ln>
      </xdr:spPr>
    </xdr:sp>
    <xdr:clientData/>
  </xdr:twoCellAnchor>
  <xdr:twoCellAnchor editAs="oneCell">
    <xdr:from>
      <xdr:col>0</xdr:col>
      <xdr:colOff>104775</xdr:colOff>
      <xdr:row>0</xdr:row>
      <xdr:rowOff>28575</xdr:rowOff>
    </xdr:from>
    <xdr:to>
      <xdr:col>1</xdr:col>
      <xdr:colOff>471865</xdr:colOff>
      <xdr:row>3</xdr:row>
      <xdr:rowOff>17433</xdr:rowOff>
    </xdr:to>
    <xdr:pic>
      <xdr:nvPicPr>
        <xdr:cNvPr id="3" name="Picture 32">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28575"/>
          <a:ext cx="762000" cy="69751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465365</xdr:colOff>
      <xdr:row>2</xdr:row>
      <xdr:rowOff>132241</xdr:rowOff>
    </xdr:to>
    <xdr:pic>
      <xdr:nvPicPr>
        <xdr:cNvPr id="3" name="Picture 32">
          <a:extLst>
            <a:ext uri="{FF2B5EF4-FFF2-40B4-BE49-F238E27FC236}">
              <a16:creationId xmlns:a16="http://schemas.microsoft.com/office/drawing/2014/main" xmlns=""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0"/>
          <a:ext cx="683895" cy="60250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3.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BreakPreview" zoomScale="50" zoomScaleNormal="60" zoomScaleSheetLayoutView="50" workbookViewId="0">
      <selection activeCell="B3" sqref="B3"/>
    </sheetView>
  </sheetViews>
  <sheetFormatPr defaultColWidth="10.26953125" defaultRowHeight="14"/>
  <cols>
    <col min="1" max="1" width="9.7265625" style="275" customWidth="1"/>
    <col min="2" max="2" width="128.26953125" style="276" customWidth="1"/>
    <col min="3" max="3" width="10.54296875" style="274" customWidth="1"/>
    <col min="4" max="4" width="10.26953125" style="274"/>
    <col min="5" max="16384" width="10.26953125" style="277"/>
  </cols>
  <sheetData>
    <row r="1" spans="1:8" s="5" customFormat="1" ht="18">
      <c r="A1" s="2"/>
      <c r="B1" s="3"/>
      <c r="C1" s="4"/>
      <c r="D1" s="4"/>
      <c r="E1" s="1"/>
      <c r="F1" s="1"/>
      <c r="G1" s="1"/>
      <c r="H1" s="1"/>
    </row>
    <row r="2" spans="1:8" s="10" customFormat="1" ht="23">
      <c r="A2" s="7"/>
      <c r="B2" s="8" t="s">
        <v>288</v>
      </c>
      <c r="C2" s="6"/>
      <c r="D2" s="6"/>
      <c r="E2" s="9"/>
      <c r="F2" s="9"/>
      <c r="G2" s="9"/>
      <c r="H2" s="9"/>
    </row>
    <row r="3" spans="1:8" s="14" customFormat="1" ht="23">
      <c r="A3" s="12"/>
      <c r="B3" s="8" t="s">
        <v>1</v>
      </c>
      <c r="C3" s="11"/>
      <c r="D3" s="11"/>
      <c r="E3" s="13"/>
      <c r="F3" s="13"/>
      <c r="G3" s="13"/>
      <c r="H3" s="13"/>
    </row>
    <row r="4" spans="1:8" s="14" customFormat="1" ht="20">
      <c r="A4" s="12"/>
      <c r="B4" s="15" t="s">
        <v>2</v>
      </c>
      <c r="C4" s="11"/>
      <c r="D4" s="11"/>
      <c r="E4" s="13"/>
      <c r="F4" s="13"/>
      <c r="G4" s="13"/>
      <c r="H4" s="13"/>
    </row>
    <row r="5" spans="1:8" s="19" customFormat="1" ht="19.5" customHeight="1">
      <c r="A5" s="12"/>
      <c r="B5" s="17">
        <v>2017</v>
      </c>
      <c r="C5" s="16"/>
      <c r="D5" s="16"/>
      <c r="E5" s="18"/>
      <c r="F5" s="18"/>
      <c r="G5" s="18"/>
      <c r="H5" s="18"/>
    </row>
    <row r="6" spans="1:8" s="22" customFormat="1" ht="8.25" customHeight="1">
      <c r="A6" s="12"/>
      <c r="B6" s="20"/>
      <c r="C6" s="11"/>
      <c r="D6" s="11"/>
      <c r="E6" s="21"/>
      <c r="F6" s="21"/>
      <c r="G6" s="21"/>
      <c r="H6" s="21"/>
    </row>
    <row r="7" spans="1:8" s="22" customFormat="1" ht="20">
      <c r="A7" s="12"/>
      <c r="B7" s="23" t="s">
        <v>3</v>
      </c>
      <c r="C7" s="11"/>
      <c r="D7" s="11"/>
      <c r="E7" s="21"/>
      <c r="F7" s="21"/>
      <c r="G7" s="21"/>
      <c r="H7" s="21"/>
    </row>
    <row r="8" spans="1:8" s="22" customFormat="1" ht="20">
      <c r="A8" s="12"/>
      <c r="B8" s="24" t="s">
        <v>4</v>
      </c>
      <c r="C8" s="11"/>
      <c r="D8" s="11"/>
      <c r="E8" s="21"/>
      <c r="F8" s="21"/>
      <c r="G8" s="21"/>
      <c r="H8" s="21"/>
    </row>
    <row r="9" spans="1:8" s="10" customFormat="1" ht="7.5" customHeight="1">
      <c r="A9" s="7"/>
      <c r="B9" s="25"/>
      <c r="C9" s="6"/>
      <c r="D9" s="6"/>
      <c r="E9" s="9"/>
      <c r="F9" s="9"/>
      <c r="G9" s="9"/>
      <c r="H9" s="9"/>
    </row>
    <row r="10" spans="1:8" s="27" customFormat="1" ht="20">
      <c r="A10" s="7"/>
      <c r="B10" s="26" t="s">
        <v>5</v>
      </c>
      <c r="C10" s="6"/>
      <c r="D10" s="6"/>
      <c r="E10" s="6"/>
      <c r="F10" s="6"/>
      <c r="G10" s="6"/>
      <c r="H10" s="6"/>
    </row>
    <row r="11" spans="1:8" s="27" customFormat="1" ht="18">
      <c r="A11" s="28"/>
      <c r="B11" s="24" t="s">
        <v>6</v>
      </c>
      <c r="C11" s="6"/>
      <c r="D11" s="6"/>
      <c r="E11" s="6"/>
      <c r="F11" s="6"/>
      <c r="G11" s="6"/>
      <c r="H11" s="6"/>
    </row>
    <row r="12" spans="1:8" s="27" customFormat="1" ht="18">
      <c r="A12" s="28"/>
      <c r="B12" s="24" t="s">
        <v>7</v>
      </c>
      <c r="C12" s="6"/>
      <c r="D12" s="6"/>
      <c r="E12" s="6"/>
      <c r="F12" s="6"/>
      <c r="G12" s="6"/>
      <c r="H12" s="6"/>
    </row>
    <row r="13" spans="1:8" s="27" customFormat="1" ht="18">
      <c r="A13" s="28"/>
      <c r="B13" s="24" t="s">
        <v>8</v>
      </c>
      <c r="C13" s="6"/>
      <c r="D13" s="6"/>
      <c r="E13" s="6"/>
      <c r="F13" s="6"/>
      <c r="G13" s="6"/>
      <c r="H13" s="6"/>
    </row>
    <row r="14" spans="1:8" s="27" customFormat="1" ht="18">
      <c r="A14" s="28"/>
      <c r="B14" s="24" t="s">
        <v>9</v>
      </c>
      <c r="C14" s="6"/>
      <c r="D14" s="6"/>
      <c r="E14" s="6"/>
      <c r="F14" s="6"/>
      <c r="G14" s="6"/>
      <c r="H14" s="6"/>
    </row>
    <row r="15" spans="1:8" s="33" customFormat="1" ht="5.25" customHeight="1">
      <c r="A15" s="30"/>
      <c r="B15" s="31"/>
      <c r="C15" s="29"/>
      <c r="D15" s="29"/>
      <c r="E15" s="32"/>
      <c r="F15" s="32"/>
      <c r="G15" s="32"/>
      <c r="H15" s="32"/>
    </row>
    <row r="16" spans="1:8" s="33" customFormat="1" ht="17.5">
      <c r="A16" s="30"/>
      <c r="B16" s="689" t="s">
        <v>10</v>
      </c>
      <c r="C16" s="29"/>
      <c r="D16" s="29"/>
      <c r="E16" s="32"/>
      <c r="F16" s="32"/>
      <c r="G16" s="32"/>
      <c r="H16" s="32"/>
    </row>
    <row r="17" spans="1:8" s="33" customFormat="1" ht="23">
      <c r="A17" s="30"/>
      <c r="B17" s="690" t="s">
        <v>11</v>
      </c>
      <c r="C17" s="29"/>
      <c r="D17" s="29"/>
      <c r="E17" s="32"/>
      <c r="F17" s="32"/>
      <c r="G17" s="32"/>
      <c r="H17" s="32"/>
    </row>
    <row r="18" spans="1:8" s="37" customFormat="1" ht="17.5">
      <c r="A18" s="35"/>
      <c r="B18" s="691" t="s">
        <v>12</v>
      </c>
      <c r="C18" s="34"/>
      <c r="D18" s="34"/>
      <c r="E18" s="36"/>
      <c r="F18" s="36"/>
      <c r="G18" s="36"/>
      <c r="H18" s="36"/>
    </row>
    <row r="19" spans="1:8" s="41" customFormat="1" ht="23">
      <c r="A19" s="39"/>
      <c r="B19" s="692" t="s">
        <v>13</v>
      </c>
      <c r="C19" s="38"/>
      <c r="D19" s="38"/>
      <c r="E19" s="40"/>
      <c r="F19" s="40"/>
      <c r="G19" s="40"/>
      <c r="H19" s="40"/>
    </row>
    <row r="20" spans="1:8" s="41" customFormat="1" ht="18" customHeight="1">
      <c r="A20" s="39"/>
      <c r="B20" s="692" t="s">
        <v>14</v>
      </c>
      <c r="C20" s="38"/>
      <c r="D20" s="38"/>
      <c r="E20" s="40"/>
      <c r="F20" s="40"/>
      <c r="G20" s="40"/>
      <c r="H20" s="40"/>
    </row>
    <row r="21" spans="1:8" s="44" customFormat="1" ht="14.5">
      <c r="A21" s="43"/>
      <c r="B21" s="693" t="s">
        <v>15</v>
      </c>
      <c r="C21" s="42"/>
      <c r="D21" s="42"/>
      <c r="E21" s="42"/>
      <c r="F21" s="42"/>
      <c r="G21" s="42"/>
      <c r="H21" s="42"/>
    </row>
    <row r="22" spans="1:8" s="33" customFormat="1">
      <c r="A22" s="30"/>
      <c r="B22" s="694" t="s">
        <v>16</v>
      </c>
      <c r="C22" s="29"/>
      <c r="D22" s="29"/>
      <c r="E22" s="32"/>
      <c r="F22" s="32"/>
      <c r="G22" s="32"/>
      <c r="H22" s="32"/>
    </row>
    <row r="23" spans="1:8" s="33" customFormat="1">
      <c r="A23" s="30"/>
      <c r="B23" s="694" t="s">
        <v>17</v>
      </c>
      <c r="C23" s="29"/>
      <c r="D23" s="29"/>
      <c r="E23" s="32"/>
      <c r="F23" s="32"/>
      <c r="G23" s="32"/>
      <c r="H23" s="32"/>
    </row>
    <row r="24" spans="1:8" s="33" customFormat="1">
      <c r="A24" s="30"/>
      <c r="B24" s="694" t="s">
        <v>18</v>
      </c>
      <c r="C24" s="29"/>
      <c r="D24" s="29"/>
      <c r="E24" s="32"/>
      <c r="F24" s="32"/>
      <c r="G24" s="32"/>
      <c r="H24" s="32"/>
    </row>
    <row r="25" spans="1:8" s="33" customFormat="1">
      <c r="A25" s="30"/>
      <c r="B25" s="694" t="s">
        <v>19</v>
      </c>
      <c r="C25" s="29"/>
      <c r="D25" s="29"/>
      <c r="E25" s="32"/>
      <c r="F25" s="32"/>
      <c r="G25" s="32"/>
      <c r="H25" s="32"/>
    </row>
    <row r="26" spans="1:8" s="33" customFormat="1">
      <c r="A26" s="30"/>
      <c r="B26" s="694" t="s">
        <v>20</v>
      </c>
      <c r="C26" s="29"/>
      <c r="D26" s="29"/>
      <c r="E26" s="32"/>
      <c r="F26" s="32"/>
      <c r="G26" s="32"/>
      <c r="H26" s="32"/>
    </row>
    <row r="27" spans="1:8" s="5" customFormat="1">
      <c r="A27" s="2"/>
      <c r="B27" s="695"/>
      <c r="C27" s="4"/>
      <c r="D27" s="4"/>
      <c r="E27" s="1"/>
      <c r="F27" s="1"/>
      <c r="G27" s="1"/>
      <c r="H27" s="1"/>
    </row>
    <row r="28" spans="1:8" s="5" customFormat="1" ht="12.5">
      <c r="A28" s="4"/>
      <c r="B28" s="25"/>
      <c r="C28" s="4"/>
      <c r="D28" s="4"/>
      <c r="E28" s="1"/>
      <c r="F28" s="1"/>
      <c r="G28" s="1"/>
      <c r="H28" s="1"/>
    </row>
    <row r="29" spans="1:8" s="5" customFormat="1">
      <c r="A29" s="2"/>
      <c r="B29" s="25"/>
      <c r="C29" s="4"/>
      <c r="D29" s="4"/>
      <c r="E29" s="1"/>
      <c r="F29" s="1"/>
      <c r="G29" s="1"/>
      <c r="H29" s="1"/>
    </row>
    <row r="30" spans="1:8" s="5" customFormat="1">
      <c r="A30" s="2"/>
      <c r="B30" s="25"/>
      <c r="C30" s="4"/>
      <c r="D30" s="4"/>
      <c r="E30" s="1"/>
      <c r="F30" s="1"/>
      <c r="G30" s="1"/>
      <c r="H30" s="1"/>
    </row>
    <row r="31" spans="1:8" s="5" customFormat="1">
      <c r="A31" s="2"/>
      <c r="B31" s="25"/>
      <c r="C31" s="4"/>
      <c r="D31" s="4"/>
      <c r="E31" s="1"/>
      <c r="F31" s="1"/>
      <c r="G31" s="1"/>
      <c r="H31" s="1"/>
    </row>
    <row r="32" spans="1:8" s="5" customFormat="1">
      <c r="A32" s="2"/>
      <c r="B32" s="25"/>
      <c r="C32" s="4"/>
      <c r="D32" s="4"/>
      <c r="E32" s="1"/>
      <c r="F32" s="1"/>
      <c r="G32" s="1"/>
      <c r="H32" s="1"/>
    </row>
    <row r="33" spans="1:8" s="5" customFormat="1">
      <c r="A33" s="2"/>
      <c r="B33" s="25"/>
      <c r="C33" s="4"/>
      <c r="D33" s="4"/>
      <c r="E33" s="1"/>
      <c r="F33" s="1"/>
      <c r="G33" s="1"/>
      <c r="H33" s="1"/>
    </row>
    <row r="34" spans="1:8" s="5" customFormat="1">
      <c r="A34" s="2"/>
      <c r="B34" s="25"/>
      <c r="C34" s="4"/>
      <c r="D34" s="4"/>
      <c r="E34" s="1"/>
      <c r="F34" s="1"/>
      <c r="G34" s="1"/>
      <c r="H34" s="1"/>
    </row>
    <row r="35" spans="1:8" s="5" customFormat="1">
      <c r="A35" s="2"/>
      <c r="B35" s="25"/>
      <c r="C35" s="4"/>
      <c r="D35" s="4"/>
      <c r="E35" s="1"/>
      <c r="F35" s="1"/>
      <c r="G35" s="1"/>
      <c r="H35" s="1"/>
    </row>
    <row r="36" spans="1:8" s="5" customFormat="1">
      <c r="A36" s="2"/>
      <c r="B36" s="25"/>
      <c r="C36" s="4"/>
      <c r="D36" s="4"/>
      <c r="E36" s="1"/>
      <c r="F36" s="1"/>
      <c r="G36" s="1"/>
      <c r="H36" s="1"/>
    </row>
    <row r="37" spans="1:8" s="5" customFormat="1">
      <c r="A37" s="2"/>
      <c r="B37" s="25"/>
      <c r="C37" s="4"/>
      <c r="D37" s="4"/>
      <c r="E37" s="1"/>
      <c r="F37" s="1"/>
      <c r="G37" s="1"/>
      <c r="H37" s="1"/>
    </row>
    <row r="38" spans="1:8" s="5" customFormat="1">
      <c r="A38" s="2"/>
      <c r="B38" s="25"/>
      <c r="C38" s="4"/>
      <c r="D38" s="4"/>
      <c r="E38" s="1"/>
      <c r="F38" s="1"/>
      <c r="G38" s="1"/>
      <c r="H38" s="1"/>
    </row>
    <row r="39" spans="1:8" s="5" customFormat="1">
      <c r="A39" s="2"/>
      <c r="B39" s="25"/>
      <c r="C39" s="4"/>
      <c r="D39" s="4"/>
      <c r="E39" s="1"/>
      <c r="F39" s="1"/>
      <c r="G39" s="1"/>
      <c r="H39" s="1"/>
    </row>
    <row r="40" spans="1:8" s="5" customFormat="1">
      <c r="A40" s="2"/>
      <c r="B40" s="25"/>
      <c r="C40" s="4"/>
      <c r="D40" s="4"/>
      <c r="E40" s="1"/>
      <c r="F40" s="1"/>
      <c r="G40" s="1"/>
      <c r="H40" s="1"/>
    </row>
    <row r="41" spans="1:8" s="5" customFormat="1">
      <c r="A41" s="2"/>
      <c r="B41" s="25"/>
      <c r="C41" s="4"/>
      <c r="D41" s="4"/>
      <c r="E41" s="1"/>
      <c r="F41" s="1"/>
      <c r="G41" s="1"/>
      <c r="H41" s="1"/>
    </row>
    <row r="42" spans="1:8" s="5" customFormat="1">
      <c r="A42" s="2"/>
      <c r="B42" s="25"/>
      <c r="C42" s="4"/>
      <c r="D42" s="4"/>
      <c r="E42" s="1"/>
      <c r="F42" s="1"/>
      <c r="G42" s="1"/>
      <c r="H42" s="1"/>
    </row>
    <row r="43" spans="1:8" s="5" customFormat="1">
      <c r="A43" s="2"/>
      <c r="B43" s="25"/>
      <c r="C43" s="4"/>
      <c r="D43" s="4"/>
      <c r="E43" s="1"/>
      <c r="F43" s="1"/>
      <c r="G43" s="1"/>
      <c r="H43" s="1"/>
    </row>
    <row r="44" spans="1:8" s="5" customFormat="1">
      <c r="A44" s="2"/>
      <c r="B44" s="25"/>
      <c r="C44" s="4"/>
      <c r="D44" s="4"/>
      <c r="E44" s="1"/>
      <c r="F44" s="1"/>
      <c r="G44" s="1"/>
      <c r="H44" s="1"/>
    </row>
    <row r="45" spans="1:8" s="5" customFormat="1">
      <c r="A45" s="2"/>
      <c r="B45" s="25"/>
      <c r="C45" s="4"/>
      <c r="D45" s="4"/>
      <c r="E45" s="1"/>
      <c r="F45" s="1"/>
      <c r="G45" s="1"/>
      <c r="H45" s="1"/>
    </row>
    <row r="46" spans="1:8" s="5" customFormat="1">
      <c r="A46" s="2"/>
      <c r="B46" s="25"/>
      <c r="C46" s="4"/>
      <c r="D46" s="4"/>
      <c r="E46" s="1"/>
      <c r="F46" s="1"/>
      <c r="G46" s="1"/>
      <c r="H46" s="1"/>
    </row>
    <row r="47" spans="1:8" s="5" customFormat="1">
      <c r="A47" s="2"/>
      <c r="B47" s="25"/>
      <c r="C47" s="4"/>
      <c r="D47" s="4"/>
      <c r="E47" s="1"/>
      <c r="F47" s="1"/>
      <c r="G47" s="1"/>
      <c r="H47" s="1"/>
    </row>
    <row r="48" spans="1:8" s="5" customFormat="1">
      <c r="A48" s="2"/>
      <c r="B48" s="25"/>
      <c r="C48" s="4"/>
      <c r="D48" s="4"/>
      <c r="E48" s="1"/>
      <c r="F48" s="1"/>
      <c r="G48" s="1"/>
      <c r="H48" s="1"/>
    </row>
    <row r="49" spans="1:8" s="5" customFormat="1">
      <c r="A49" s="2"/>
      <c r="B49" s="25"/>
      <c r="C49" s="4"/>
      <c r="D49" s="4"/>
      <c r="E49" s="1"/>
      <c r="F49" s="1"/>
      <c r="G49" s="1"/>
      <c r="H49" s="1"/>
    </row>
    <row r="50" spans="1:8" s="5" customFormat="1">
      <c r="A50" s="2"/>
      <c r="B50" s="25"/>
      <c r="C50" s="4"/>
      <c r="D50" s="4"/>
      <c r="E50" s="1"/>
      <c r="F50" s="1"/>
      <c r="G50" s="1"/>
      <c r="H50" s="1"/>
    </row>
    <row r="51" spans="1:8" s="5" customFormat="1">
      <c r="A51" s="2"/>
      <c r="B51" s="25"/>
      <c r="C51" s="4"/>
      <c r="D51" s="4"/>
      <c r="E51" s="1"/>
      <c r="F51" s="1"/>
      <c r="G51" s="1"/>
      <c r="H51" s="1"/>
    </row>
    <row r="52" spans="1:8" s="5" customFormat="1">
      <c r="A52" s="2"/>
      <c r="B52" s="25"/>
      <c r="C52" s="4"/>
      <c r="D52" s="4"/>
      <c r="E52" s="1"/>
      <c r="F52" s="1"/>
      <c r="G52" s="1"/>
      <c r="H52" s="1"/>
    </row>
    <row r="53" spans="1:8" s="5" customFormat="1">
      <c r="A53" s="2"/>
      <c r="B53" s="25"/>
      <c r="C53" s="4"/>
      <c r="D53" s="4"/>
      <c r="E53" s="1"/>
      <c r="F53" s="1"/>
      <c r="G53" s="1"/>
      <c r="H53" s="1"/>
    </row>
    <row r="54" spans="1:8" s="5" customFormat="1" ht="12.5">
      <c r="A54" s="1"/>
    </row>
    <row r="55" spans="1:8" s="5" customFormat="1" ht="12.5">
      <c r="A55" s="1"/>
    </row>
    <row r="56" spans="1:8" s="5" customFormat="1" ht="12.5"/>
  </sheetData>
  <sheetProtection algorithmName="SHA-512" hashValue="ufP6rQ9ZCKdGUwKr840aCR0Q3/zz/JaHsOY0b39+4VKW7ALoL+cUdrUyW2DtcMEaOXSmJIx2mqt4MT7PFDFmRg==" saltValue="4iAiCDsOZvfIMXla3kCb4g==" spinCount="100000" sheet="1" objects="1" scenarios="1" formatCells="0" formatColumns="0" formatRows="0"/>
  <pageMargins left="0.70866141732283472" right="0.70866141732283472" top="0.74803149606299213" bottom="0.74803149606299213" header="0.31496062992125984" footer="0.31496062992125984"/>
  <pageSetup paperSize="9" scale="5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63"/>
  <sheetViews>
    <sheetView showGridLines="0" topLeftCell="A10" zoomScale="55" zoomScaleNormal="55" zoomScaleSheetLayoutView="63" workbookViewId="0">
      <selection activeCell="I22" sqref="I22:I26"/>
    </sheetView>
  </sheetViews>
  <sheetFormatPr defaultColWidth="10.26953125" defaultRowHeight="12.5"/>
  <cols>
    <col min="1" max="1" width="10.7265625" style="318" customWidth="1"/>
    <col min="2" max="2" width="15.7265625" style="277" customWidth="1"/>
    <col min="3" max="3" width="12.7265625" style="277" customWidth="1"/>
    <col min="4" max="4" width="19.7265625" style="277" customWidth="1"/>
    <col min="5" max="5" width="20.7265625" style="277" customWidth="1"/>
    <col min="6" max="6" width="9.26953125" style="319" customWidth="1"/>
    <col min="7" max="7" width="15.7265625" style="277" customWidth="1"/>
    <col min="8" max="8" width="12.7265625" style="277" customWidth="1"/>
    <col min="9" max="9" width="19.7265625" style="277" customWidth="1"/>
    <col min="10" max="10" width="20.7265625" style="315" customWidth="1"/>
    <col min="11" max="11" width="48.81640625" style="315" customWidth="1"/>
    <col min="12" max="12" width="10.7265625" style="315" customWidth="1"/>
    <col min="13" max="13" width="12.7265625" style="315" customWidth="1"/>
    <col min="14" max="14" width="14" style="474" customWidth="1"/>
    <col min="15" max="21" width="9.7265625" style="315" customWidth="1"/>
    <col min="22" max="22" width="9.7265625" style="317" customWidth="1"/>
    <col min="23" max="23" width="27.26953125" style="317" customWidth="1"/>
    <col min="24" max="24" width="28.7265625" style="315" customWidth="1"/>
    <col min="25" max="30" width="10.26953125" style="315"/>
    <col min="31" max="31" width="13.7265625" style="315" customWidth="1"/>
    <col min="32" max="35" width="13.7265625" style="277" customWidth="1"/>
    <col min="36" max="36" width="10.26953125" style="277"/>
    <col min="37" max="37" width="28.453125" style="277" customWidth="1"/>
    <col min="38" max="38" width="43.453125" style="277" customWidth="1"/>
    <col min="39" max="39" width="20.7265625" style="277" customWidth="1"/>
    <col min="40" max="16384" width="10.26953125" style="277"/>
  </cols>
  <sheetData>
    <row r="1" spans="1:31" ht="24" customHeight="1">
      <c r="A1" s="763" t="s">
        <v>160</v>
      </c>
      <c r="B1" s="464"/>
      <c r="C1" s="464"/>
      <c r="D1" s="464"/>
      <c r="E1" s="619"/>
      <c r="F1" s="619"/>
      <c r="G1" s="619"/>
      <c r="H1" s="619"/>
      <c r="I1" s="619"/>
      <c r="J1" s="667"/>
      <c r="K1" s="919" t="s">
        <v>87</v>
      </c>
      <c r="L1" s="920"/>
      <c r="M1" s="920"/>
      <c r="N1" s="632"/>
    </row>
    <row r="2" spans="1:31" s="119" customFormat="1" ht="20.149999999999999" customHeight="1">
      <c r="A2" s="47"/>
      <c r="B2" s="118"/>
      <c r="C2" s="465" t="s">
        <v>159</v>
      </c>
      <c r="D2" s="466"/>
      <c r="E2" s="620"/>
      <c r="F2" s="620"/>
      <c r="G2" s="621"/>
      <c r="H2" s="564"/>
      <c r="I2" s="564"/>
      <c r="J2" s="625"/>
      <c r="K2" s="921"/>
      <c r="L2" s="922"/>
      <c r="M2" s="922"/>
      <c r="N2" s="923"/>
      <c r="O2" s="321"/>
      <c r="P2" s="321"/>
      <c r="Q2" s="321"/>
      <c r="R2" s="321"/>
      <c r="S2" s="321"/>
      <c r="T2" s="321"/>
      <c r="U2" s="321"/>
      <c r="V2" s="924"/>
      <c r="W2" s="924"/>
      <c r="X2" s="321"/>
      <c r="Y2" s="321"/>
      <c r="Z2" s="321"/>
      <c r="AA2" s="321"/>
      <c r="AB2" s="321"/>
      <c r="AC2" s="321"/>
      <c r="AD2" s="321"/>
      <c r="AE2" s="321"/>
    </row>
    <row r="3" spans="1:31" s="119" customFormat="1" ht="12.75" customHeight="1">
      <c r="A3" s="47"/>
      <c r="B3" s="118"/>
      <c r="C3" s="171"/>
      <c r="D3" s="118"/>
      <c r="E3" s="567"/>
      <c r="F3" s="567"/>
      <c r="G3" s="564"/>
      <c r="H3" s="564"/>
      <c r="I3" s="564"/>
      <c r="J3" s="625"/>
      <c r="K3" s="925"/>
      <c r="L3" s="926"/>
      <c r="M3" s="926"/>
      <c r="N3" s="927"/>
      <c r="O3" s="321"/>
      <c r="P3" s="321"/>
      <c r="Q3" s="321"/>
      <c r="R3" s="321"/>
      <c r="S3" s="321"/>
      <c r="T3" s="321"/>
      <c r="U3" s="321"/>
      <c r="V3" s="924"/>
      <c r="W3" s="924"/>
      <c r="X3" s="321"/>
      <c r="Y3" s="321"/>
      <c r="Z3" s="321"/>
      <c r="AA3" s="321"/>
      <c r="AB3" s="321"/>
      <c r="AC3" s="321"/>
      <c r="AD3" s="321"/>
      <c r="AE3" s="321"/>
    </row>
    <row r="4" spans="1:31" s="119" customFormat="1" ht="20.149999999999999" customHeight="1">
      <c r="A4" s="54" t="s">
        <v>26</v>
      </c>
      <c r="B4" s="1278"/>
      <c r="C4" s="1279"/>
      <c r="D4" s="1279"/>
      <c r="E4" s="1279"/>
      <c r="F4" s="1280"/>
      <c r="G4" s="668" t="s">
        <v>92</v>
      </c>
      <c r="H4" s="1263"/>
      <c r="I4" s="1264"/>
      <c r="J4" s="625"/>
      <c r="K4" s="1265"/>
      <c r="L4" s="1266"/>
      <c r="M4" s="1266"/>
      <c r="N4" s="1267"/>
      <c r="O4" s="928"/>
      <c r="P4" s="928"/>
      <c r="Q4" s="321"/>
      <c r="R4" s="321"/>
      <c r="S4" s="321"/>
      <c r="T4" s="321"/>
      <c r="U4" s="321"/>
      <c r="V4" s="924"/>
      <c r="W4" s="924"/>
      <c r="X4" s="321"/>
      <c r="Y4" s="321"/>
      <c r="Z4" s="321"/>
      <c r="AA4" s="321"/>
      <c r="AB4" s="321"/>
      <c r="AC4" s="321"/>
      <c r="AD4" s="321"/>
      <c r="AE4" s="321"/>
    </row>
    <row r="5" spans="1:31" s="119" customFormat="1" ht="20.25" customHeight="1">
      <c r="A5" s="169"/>
      <c r="B5" s="467"/>
      <c r="C5" s="468"/>
      <c r="D5" s="469"/>
      <c r="E5" s="623"/>
      <c r="F5" s="623"/>
      <c r="G5" s="624"/>
      <c r="H5" s="625"/>
      <c r="I5" s="564"/>
      <c r="J5" s="625"/>
      <c r="K5" s="1265"/>
      <c r="L5" s="1266"/>
      <c r="M5" s="1266"/>
      <c r="N5" s="1267"/>
      <c r="O5" s="928"/>
      <c r="P5" s="928"/>
      <c r="Q5" s="321"/>
      <c r="R5" s="321"/>
      <c r="S5" s="321"/>
      <c r="T5" s="321"/>
      <c r="U5" s="321"/>
      <c r="V5" s="924"/>
      <c r="W5" s="924"/>
      <c r="X5" s="321"/>
      <c r="Y5" s="321"/>
      <c r="Z5" s="321"/>
      <c r="AA5" s="321"/>
      <c r="AB5" s="321"/>
      <c r="AC5" s="321"/>
      <c r="AD5" s="321"/>
      <c r="AE5" s="321"/>
    </row>
    <row r="6" spans="1:31" s="119" customFormat="1" ht="14.25" customHeight="1">
      <c r="A6" s="56" t="s">
        <v>27</v>
      </c>
      <c r="B6" s="1281"/>
      <c r="C6" s="1282"/>
      <c r="D6" s="1283"/>
      <c r="E6" s="625"/>
      <c r="F6" s="625"/>
      <c r="G6" s="625"/>
      <c r="H6" s="625"/>
      <c r="I6" s="564"/>
      <c r="J6" s="625"/>
      <c r="K6" s="921"/>
      <c r="L6" s="922"/>
      <c r="M6" s="922"/>
      <c r="N6" s="923"/>
      <c r="O6" s="321"/>
      <c r="P6" s="321"/>
      <c r="Q6" s="321"/>
      <c r="R6" s="321"/>
      <c r="S6" s="321"/>
      <c r="T6" s="321"/>
      <c r="U6" s="321"/>
      <c r="V6" s="924"/>
      <c r="W6" s="924"/>
      <c r="X6" s="321"/>
      <c r="Y6" s="321"/>
      <c r="Z6" s="321"/>
      <c r="AA6" s="321"/>
      <c r="AB6" s="321"/>
      <c r="AC6" s="321"/>
      <c r="AD6" s="321"/>
      <c r="AE6" s="321"/>
    </row>
    <row r="7" spans="1:31" s="119" customFormat="1" ht="13.5" customHeight="1">
      <c r="A7" s="169"/>
      <c r="B7" s="57"/>
      <c r="C7" s="468"/>
      <c r="D7" s="470"/>
      <c r="E7" s="622"/>
      <c r="F7" s="622"/>
      <c r="G7" s="623"/>
      <c r="H7" s="624"/>
      <c r="I7" s="564"/>
      <c r="J7" s="625"/>
      <c r="K7" s="911" t="s">
        <v>28</v>
      </c>
      <c r="L7" s="929"/>
      <c r="M7" s="929"/>
      <c r="N7" s="923"/>
      <c r="O7" s="321"/>
      <c r="P7" s="321"/>
      <c r="Q7" s="321"/>
      <c r="R7" s="321"/>
      <c r="S7" s="321"/>
      <c r="T7" s="321"/>
      <c r="U7" s="321"/>
      <c r="V7" s="924"/>
      <c r="W7" s="924"/>
    </row>
    <row r="8" spans="1:31" s="119" customFormat="1" ht="33.75" customHeight="1">
      <c r="A8" s="53"/>
      <c r="B8" s="273" t="s">
        <v>190</v>
      </c>
      <c r="C8" s="468"/>
      <c r="D8" s="50"/>
      <c r="E8" s="622"/>
      <c r="F8" s="622"/>
      <c r="G8" s="623"/>
      <c r="H8" s="624"/>
      <c r="I8" s="564"/>
      <c r="J8" s="625"/>
      <c r="K8" s="1247" t="s">
        <v>265</v>
      </c>
      <c r="L8" s="930"/>
      <c r="M8" s="930"/>
      <c r="N8" s="931"/>
      <c r="O8" s="321"/>
      <c r="P8" s="321"/>
      <c r="Q8" s="321"/>
      <c r="R8" s="321"/>
      <c r="S8" s="321"/>
      <c r="T8" s="321"/>
      <c r="U8" s="321"/>
      <c r="V8" s="924"/>
      <c r="W8" s="924"/>
    </row>
    <row r="9" spans="1:31" s="119" customFormat="1" ht="25.5" customHeight="1">
      <c r="A9" s="169"/>
      <c r="B9" s="58" t="s">
        <v>30</v>
      </c>
      <c r="C9" s="59">
        <v>1</v>
      </c>
      <c r="D9" s="471"/>
      <c r="E9" s="622"/>
      <c r="F9" s="622"/>
      <c r="G9" s="626"/>
      <c r="H9" s="624"/>
      <c r="I9" s="564"/>
      <c r="J9" s="625"/>
      <c r="K9" s="1247"/>
      <c r="L9" s="932"/>
      <c r="M9" s="932"/>
      <c r="N9" s="933"/>
      <c r="O9" s="321"/>
      <c r="P9" s="321"/>
      <c r="Q9" s="321"/>
      <c r="R9" s="321"/>
      <c r="S9" s="321"/>
      <c r="T9" s="321"/>
      <c r="U9" s="321"/>
      <c r="V9" s="924"/>
      <c r="W9" s="924"/>
      <c r="X9" s="321"/>
      <c r="Y9" s="321"/>
      <c r="Z9" s="321"/>
      <c r="AA9" s="321"/>
      <c r="AB9" s="321"/>
      <c r="AC9" s="321"/>
      <c r="AD9" s="321"/>
      <c r="AE9" s="321"/>
    </row>
    <row r="10" spans="1:31" s="119" customFormat="1" ht="48" customHeight="1">
      <c r="A10" s="169"/>
      <c r="B10" s="57"/>
      <c r="C10" s="60"/>
      <c r="D10" s="472"/>
      <c r="E10" s="622"/>
      <c r="F10" s="622"/>
      <c r="G10" s="626"/>
      <c r="H10" s="624"/>
      <c r="I10" s="564"/>
      <c r="J10" s="625"/>
      <c r="K10" s="1268"/>
      <c r="L10" s="1269"/>
      <c r="M10" s="1269"/>
      <c r="N10" s="934"/>
      <c r="O10" s="321"/>
      <c r="P10" s="321"/>
      <c r="Q10" s="321"/>
      <c r="R10" s="321"/>
      <c r="S10" s="321"/>
      <c r="T10" s="321"/>
      <c r="U10" s="321"/>
      <c r="V10" s="924"/>
      <c r="W10" s="924"/>
      <c r="X10" s="321"/>
      <c r="Y10" s="321"/>
      <c r="Z10" s="321"/>
      <c r="AA10" s="321"/>
      <c r="AB10" s="321"/>
      <c r="AC10" s="321"/>
      <c r="AD10" s="321"/>
      <c r="AE10" s="321"/>
    </row>
    <row r="11" spans="1:31" s="119" customFormat="1" ht="33.75" customHeight="1">
      <c r="A11" s="168"/>
      <c r="B11" s="48"/>
      <c r="C11" s="49"/>
      <c r="D11" s="118"/>
      <c r="E11" s="567"/>
      <c r="F11" s="567"/>
      <c r="G11" s="669"/>
      <c r="H11" s="564"/>
      <c r="I11" s="564"/>
      <c r="J11" s="625"/>
      <c r="K11" s="1268"/>
      <c r="L11" s="1269"/>
      <c r="M11" s="1269"/>
      <c r="N11" s="935"/>
      <c r="O11" s="321"/>
      <c r="P11" s="321"/>
      <c r="Q11" s="321"/>
      <c r="R11" s="321"/>
      <c r="S11" s="321"/>
      <c r="T11" s="321"/>
      <c r="U11" s="321"/>
      <c r="V11" s="924"/>
      <c r="W11" s="924"/>
      <c r="X11" s="321"/>
      <c r="Y11" s="321"/>
      <c r="Z11" s="321"/>
      <c r="AA11" s="321"/>
      <c r="AB11" s="321"/>
      <c r="AC11" s="321"/>
      <c r="AD11" s="321"/>
      <c r="AE11" s="321"/>
    </row>
    <row r="12" spans="1:31" s="119" customFormat="1" ht="29.25" customHeight="1">
      <c r="A12" s="169"/>
      <c r="B12" s="273" t="s">
        <v>191</v>
      </c>
      <c r="C12" s="48"/>
      <c r="D12" s="118"/>
      <c r="E12" s="567"/>
      <c r="F12" s="567"/>
      <c r="G12" s="564"/>
      <c r="H12" s="564"/>
      <c r="I12" s="564"/>
      <c r="J12" s="532"/>
      <c r="K12" s="911"/>
      <c r="L12" s="936"/>
      <c r="M12" s="937"/>
      <c r="N12" s="938"/>
      <c r="O12" s="939" t="s">
        <v>33</v>
      </c>
      <c r="P12" s="940"/>
      <c r="Q12" s="940"/>
      <c r="R12" s="940"/>
      <c r="S12" s="940"/>
      <c r="T12" s="940"/>
      <c r="U12" s="940"/>
      <c r="V12" s="941"/>
      <c r="W12" s="924"/>
      <c r="X12" s="321"/>
      <c r="Y12" s="321"/>
      <c r="Z12" s="321"/>
      <c r="AA12" s="321"/>
      <c r="AB12" s="321"/>
      <c r="AC12" s="321"/>
      <c r="AD12" s="321"/>
      <c r="AE12" s="321"/>
    </row>
    <row r="13" spans="1:31" ht="24.75" customHeight="1">
      <c r="A13" s="64"/>
      <c r="B13" s="65" t="s">
        <v>35</v>
      </c>
      <c r="C13" s="59">
        <v>2</v>
      </c>
      <c r="D13" s="473"/>
      <c r="E13" s="576"/>
      <c r="F13" s="576"/>
      <c r="G13" s="576"/>
      <c r="H13" s="576"/>
      <c r="I13" s="576"/>
      <c r="J13" s="670"/>
      <c r="K13" s="1270"/>
      <c r="L13" s="1271"/>
      <c r="M13" s="942"/>
      <c r="N13" s="938"/>
      <c r="O13" s="943" t="s">
        <v>34</v>
      </c>
      <c r="P13" s="944"/>
      <c r="Q13" s="944"/>
      <c r="R13" s="944"/>
      <c r="S13" s="944"/>
      <c r="T13" s="944"/>
      <c r="U13" s="944"/>
      <c r="V13" s="945"/>
      <c r="X13" s="321"/>
      <c r="Y13" s="321"/>
      <c r="Z13" s="321"/>
      <c r="AA13" s="321"/>
      <c r="AB13" s="321"/>
      <c r="AC13" s="321"/>
      <c r="AD13" s="321"/>
      <c r="AE13" s="321"/>
    </row>
    <row r="14" spans="1:31" s="119" customFormat="1" ht="29.25" customHeight="1">
      <c r="A14" s="47"/>
      <c r="B14" s="67"/>
      <c r="C14" s="475"/>
      <c r="D14" s="264"/>
      <c r="E14" s="567"/>
      <c r="F14" s="567"/>
      <c r="G14" s="564"/>
      <c r="H14" s="564"/>
      <c r="I14" s="564"/>
      <c r="J14" s="532"/>
      <c r="K14" s="946"/>
      <c r="L14" s="937"/>
      <c r="M14" s="937"/>
      <c r="N14" s="938"/>
      <c r="O14" s="947"/>
      <c r="P14" s="947"/>
      <c r="Q14" s="947"/>
      <c r="R14" s="947"/>
      <c r="S14" s="947"/>
      <c r="T14" s="947"/>
      <c r="U14" s="947"/>
      <c r="V14" s="948"/>
      <c r="W14" s="924"/>
      <c r="X14" s="321"/>
      <c r="Y14" s="321"/>
      <c r="Z14" s="321"/>
      <c r="AA14" s="321"/>
      <c r="AB14" s="321"/>
      <c r="AC14" s="321"/>
      <c r="AD14" s="321"/>
      <c r="AE14" s="321"/>
    </row>
    <row r="15" spans="1:31" s="326" customFormat="1" ht="14">
      <c r="A15" s="54" t="s">
        <v>31</v>
      </c>
      <c r="B15" s="62" t="s">
        <v>32</v>
      </c>
      <c r="C15" s="63" t="str">
        <f>IF(Ic=1,"= TESTED MODEL",IF(Ic=2,"= REFERENCE MODEL","TESTED OPTIMUM POINT"))</f>
        <v>= TESTED MODEL</v>
      </c>
      <c r="D15" s="48"/>
      <c r="E15" s="567"/>
      <c r="F15" s="567"/>
      <c r="G15" s="564"/>
      <c r="H15" s="564"/>
      <c r="I15" s="564"/>
      <c r="J15" s="532"/>
      <c r="K15" s="911" t="s">
        <v>38</v>
      </c>
      <c r="L15" s="936"/>
      <c r="M15" s="937"/>
      <c r="N15" s="938"/>
      <c r="O15" s="947"/>
      <c r="P15" s="947"/>
      <c r="Q15" s="947"/>
      <c r="R15" s="947"/>
      <c r="S15" s="947"/>
      <c r="T15" s="947"/>
      <c r="U15" s="947"/>
      <c r="V15" s="948"/>
      <c r="W15" s="949"/>
      <c r="X15" s="321"/>
      <c r="Y15" s="321"/>
      <c r="Z15" s="321"/>
      <c r="AA15" s="321"/>
      <c r="AB15" s="321"/>
      <c r="AC15" s="321"/>
      <c r="AD15" s="321"/>
      <c r="AE15" s="321"/>
    </row>
    <row r="16" spans="1:31" s="326" customFormat="1" ht="14">
      <c r="A16" s="54" t="s">
        <v>21</v>
      </c>
      <c r="B16" s="62" t="s">
        <v>189</v>
      </c>
      <c r="C16" s="63"/>
      <c r="D16" s="48"/>
      <c r="E16" s="567"/>
      <c r="F16" s="567"/>
      <c r="G16" s="564"/>
      <c r="H16" s="564"/>
      <c r="I16" s="564"/>
      <c r="J16" s="532"/>
      <c r="K16" s="1249" t="s">
        <v>267</v>
      </c>
      <c r="L16" s="1250"/>
      <c r="M16" s="950"/>
      <c r="N16" s="951"/>
      <c r="O16" s="947"/>
      <c r="P16" s="947"/>
      <c r="Q16" s="947"/>
      <c r="R16" s="947"/>
      <c r="S16" s="947"/>
      <c r="T16" s="947"/>
      <c r="U16" s="947"/>
      <c r="V16" s="948"/>
      <c r="W16" s="949"/>
      <c r="X16" s="321"/>
      <c r="Y16" s="321"/>
      <c r="Z16" s="321"/>
      <c r="AA16" s="321"/>
      <c r="AB16" s="321"/>
      <c r="AC16" s="321"/>
      <c r="AD16" s="321"/>
      <c r="AE16" s="321"/>
    </row>
    <row r="17" spans="1:31" ht="14">
      <c r="A17" s="68" t="s">
        <v>97</v>
      </c>
      <c r="B17" s="117" t="s">
        <v>194</v>
      </c>
      <c r="C17" s="49"/>
      <c r="D17" s="48"/>
      <c r="E17" s="619"/>
      <c r="F17" s="619"/>
      <c r="G17" s="619"/>
      <c r="H17" s="619"/>
      <c r="I17" s="619"/>
      <c r="J17" s="667"/>
      <c r="K17" s="1249"/>
      <c r="L17" s="1250"/>
      <c r="M17" s="605"/>
      <c r="N17" s="605"/>
      <c r="X17" s="321"/>
      <c r="Y17" s="321"/>
      <c r="Z17" s="321"/>
      <c r="AA17" s="321"/>
      <c r="AB17" s="321"/>
      <c r="AC17" s="321"/>
      <c r="AD17" s="321"/>
      <c r="AE17" s="321"/>
    </row>
    <row r="18" spans="1:31" ht="18.75" customHeight="1">
      <c r="A18" s="68"/>
      <c r="B18" s="851" t="s">
        <v>467</v>
      </c>
      <c r="C18" s="368" t="s">
        <v>37</v>
      </c>
      <c r="D18" s="1219"/>
      <c r="E18" s="619"/>
      <c r="F18" s="619"/>
      <c r="G18" s="619"/>
      <c r="H18" s="619"/>
      <c r="I18" s="619"/>
      <c r="J18" s="667"/>
      <c r="K18" s="1251" t="s">
        <v>266</v>
      </c>
      <c r="L18" s="1252"/>
      <c r="M18" s="952"/>
      <c r="N18" s="953"/>
      <c r="X18" s="321"/>
      <c r="Y18" s="321"/>
      <c r="Z18" s="321"/>
      <c r="AA18" s="321"/>
      <c r="AB18" s="321"/>
      <c r="AC18" s="321"/>
      <c r="AD18" s="321"/>
      <c r="AE18" s="321"/>
    </row>
    <row r="19" spans="1:31" ht="6.75" customHeight="1">
      <c r="A19" s="68"/>
      <c r="B19" s="69"/>
      <c r="C19" s="49"/>
      <c r="D19" s="48"/>
      <c r="E19" s="619"/>
      <c r="F19" s="619"/>
      <c r="G19" s="619"/>
      <c r="H19" s="619"/>
      <c r="I19" s="619"/>
      <c r="J19" s="667"/>
      <c r="K19" s="1251"/>
      <c r="L19" s="1252"/>
      <c r="M19" s="954"/>
      <c r="N19" s="632"/>
      <c r="X19" s="321"/>
      <c r="Y19" s="321"/>
      <c r="Z19" s="321"/>
      <c r="AA19" s="321"/>
      <c r="AB19" s="321"/>
      <c r="AC19" s="321"/>
      <c r="AD19" s="321"/>
      <c r="AE19" s="321"/>
    </row>
    <row r="20" spans="1:31" s="119" customFormat="1" ht="17.25" customHeight="1">
      <c r="A20" s="68" t="s">
        <v>98</v>
      </c>
      <c r="B20" s="63" t="s">
        <v>195</v>
      </c>
      <c r="C20" s="48"/>
      <c r="D20" s="48"/>
      <c r="E20" s="564"/>
      <c r="F20" s="564"/>
      <c r="G20" s="564"/>
      <c r="H20" s="564"/>
      <c r="I20" s="564"/>
      <c r="J20" s="532"/>
      <c r="K20" s="911" t="s">
        <v>47</v>
      </c>
      <c r="L20" s="929"/>
      <c r="M20" s="929"/>
      <c r="N20" s="955"/>
      <c r="O20" s="947"/>
      <c r="P20" s="947"/>
      <c r="Q20" s="947"/>
      <c r="R20" s="947"/>
      <c r="S20" s="947"/>
      <c r="T20" s="947"/>
      <c r="U20" s="947"/>
      <c r="V20" s="948"/>
      <c r="W20" s="924"/>
      <c r="X20" s="321"/>
      <c r="Y20" s="321"/>
      <c r="Z20" s="321"/>
      <c r="AA20" s="321"/>
      <c r="AB20" s="321"/>
      <c r="AC20" s="321"/>
      <c r="AD20" s="321"/>
      <c r="AE20" s="321"/>
    </row>
    <row r="21" spans="1:31" s="119" customFormat="1" ht="17.25" customHeight="1">
      <c r="A21" s="71"/>
      <c r="B21" s="48" t="str">
        <f>IF(IT=3,"Non applicable, fill the Pump data on the right table","Turbine operation")</f>
        <v>Turbine operation</v>
      </c>
      <c r="C21" s="48"/>
      <c r="D21" s="118"/>
      <c r="E21" s="564"/>
      <c r="F21" s="564"/>
      <c r="G21" s="520" t="str">
        <f>IF(IT=3,"Pump operation","Table not applicable, fill the Turbine data in the left table")</f>
        <v>Table not applicable, fill the Turbine data in the left table</v>
      </c>
      <c r="H21" s="564"/>
      <c r="I21" s="564"/>
      <c r="J21" s="532"/>
      <c r="K21" s="1247" t="s">
        <v>170</v>
      </c>
      <c r="L21" s="1253"/>
      <c r="M21" s="1253"/>
      <c r="N21" s="956"/>
      <c r="O21" s="947"/>
      <c r="P21" s="947"/>
      <c r="Q21" s="947"/>
      <c r="R21" s="947"/>
      <c r="S21" s="947"/>
      <c r="T21" s="947"/>
      <c r="U21" s="947"/>
      <c r="V21" s="948"/>
      <c r="W21" s="924"/>
      <c r="X21" s="321"/>
      <c r="Y21" s="321"/>
      <c r="Z21" s="321"/>
      <c r="AA21" s="321"/>
      <c r="AB21" s="321"/>
      <c r="AC21" s="321"/>
      <c r="AD21" s="321"/>
      <c r="AE21" s="321"/>
    </row>
    <row r="22" spans="1:31" s="119" customFormat="1" ht="19.5" customHeight="1">
      <c r="A22" s="47"/>
      <c r="B22" s="851" t="s">
        <v>424</v>
      </c>
      <c r="C22" s="369" t="s">
        <v>168</v>
      </c>
      <c r="D22" s="582"/>
      <c r="E22" s="564"/>
      <c r="F22" s="564"/>
      <c r="G22" s="874" t="s">
        <v>424</v>
      </c>
      <c r="H22" s="613" t="s">
        <v>168</v>
      </c>
      <c r="I22" s="582"/>
      <c r="J22" s="532"/>
      <c r="K22" s="1247"/>
      <c r="L22" s="1253"/>
      <c r="M22" s="1253"/>
      <c r="N22" s="956"/>
      <c r="O22" s="947"/>
      <c r="P22" s="947"/>
      <c r="Q22" s="947"/>
      <c r="R22" s="947"/>
      <c r="S22" s="947"/>
      <c r="T22" s="947"/>
      <c r="U22" s="947"/>
      <c r="V22" s="948"/>
      <c r="W22" s="924"/>
      <c r="X22" s="321"/>
      <c r="Y22" s="321"/>
      <c r="Z22" s="321"/>
      <c r="AA22" s="321"/>
      <c r="AB22" s="321"/>
      <c r="AC22" s="321"/>
      <c r="AD22" s="321"/>
      <c r="AE22" s="321"/>
    </row>
    <row r="23" spans="1:31" s="119" customFormat="1" ht="20.149999999999999" customHeight="1">
      <c r="A23" s="47"/>
      <c r="B23" s="851" t="s">
        <v>425</v>
      </c>
      <c r="C23" s="369" t="s">
        <v>39</v>
      </c>
      <c r="D23" s="1227"/>
      <c r="E23" s="564"/>
      <c r="F23" s="564"/>
      <c r="G23" s="874" t="s">
        <v>425</v>
      </c>
      <c r="H23" s="613" t="s">
        <v>39</v>
      </c>
      <c r="I23" s="1227"/>
      <c r="J23" s="532"/>
      <c r="K23" s="1247"/>
      <c r="L23" s="1253"/>
      <c r="M23" s="1253"/>
      <c r="N23" s="956"/>
      <c r="O23" s="947"/>
      <c r="P23" s="947"/>
      <c r="Q23" s="947"/>
      <c r="R23" s="947"/>
      <c r="S23" s="947"/>
      <c r="T23" s="947"/>
      <c r="U23" s="947"/>
      <c r="V23" s="948"/>
      <c r="W23" s="924"/>
      <c r="X23" s="321"/>
      <c r="Y23" s="321"/>
      <c r="Z23" s="321"/>
      <c r="AA23" s="321"/>
      <c r="AB23" s="321"/>
      <c r="AC23" s="321"/>
      <c r="AD23" s="321"/>
      <c r="AE23" s="321"/>
    </row>
    <row r="24" spans="1:31" s="119" customFormat="1" ht="20.149999999999999" customHeight="1">
      <c r="A24" s="47"/>
      <c r="B24" s="851" t="s">
        <v>426</v>
      </c>
      <c r="C24" s="369" t="s">
        <v>40</v>
      </c>
      <c r="D24" s="582"/>
      <c r="E24" s="564"/>
      <c r="F24" s="564"/>
      <c r="G24" s="874" t="s">
        <v>426</v>
      </c>
      <c r="H24" s="613" t="s">
        <v>40</v>
      </c>
      <c r="I24" s="582"/>
      <c r="J24" s="625"/>
      <c r="K24" s="911" t="s">
        <v>162</v>
      </c>
      <c r="L24" s="957"/>
      <c r="M24" s="957"/>
      <c r="N24" s="956"/>
      <c r="O24" s="947"/>
      <c r="P24" s="947"/>
      <c r="Q24" s="947"/>
      <c r="R24" s="947"/>
      <c r="S24" s="947"/>
      <c r="T24" s="947"/>
      <c r="U24" s="947"/>
      <c r="V24" s="948"/>
      <c r="W24" s="958"/>
      <c r="X24" s="321"/>
      <c r="Y24" s="321"/>
      <c r="Z24" s="321"/>
      <c r="AA24" s="321"/>
      <c r="AB24" s="321"/>
      <c r="AC24" s="321"/>
      <c r="AD24" s="321"/>
      <c r="AE24" s="321"/>
    </row>
    <row r="25" spans="1:31" s="119" customFormat="1" ht="20.149999999999999" customHeight="1">
      <c r="A25" s="47"/>
      <c r="B25" s="851" t="s">
        <v>468</v>
      </c>
      <c r="C25" s="369" t="s">
        <v>41</v>
      </c>
      <c r="D25" s="582"/>
      <c r="E25" s="567"/>
      <c r="F25" s="567"/>
      <c r="G25" s="874" t="s">
        <v>469</v>
      </c>
      <c r="H25" s="613" t="s">
        <v>41</v>
      </c>
      <c r="I25" s="582"/>
      <c r="J25" s="625"/>
      <c r="K25" s="1248" t="s">
        <v>169</v>
      </c>
      <c r="L25" s="959"/>
      <c r="M25" s="959"/>
      <c r="N25" s="956"/>
      <c r="O25" s="947"/>
      <c r="P25" s="947"/>
      <c r="Q25" s="947"/>
      <c r="R25" s="947"/>
      <c r="S25" s="947"/>
      <c r="T25" s="947"/>
      <c r="U25" s="947"/>
      <c r="V25" s="948"/>
      <c r="W25" s="960"/>
      <c r="X25" s="321"/>
      <c r="Y25" s="321"/>
      <c r="Z25" s="321"/>
      <c r="AA25" s="321"/>
      <c r="AB25" s="321"/>
      <c r="AC25" s="321"/>
      <c r="AD25" s="321"/>
      <c r="AE25" s="321"/>
    </row>
    <row r="26" spans="1:31" s="964" customFormat="1" ht="19.5" customHeight="1">
      <c r="A26" s="47"/>
      <c r="B26" s="851" t="s">
        <v>428</v>
      </c>
      <c r="C26" s="369" t="s">
        <v>42</v>
      </c>
      <c r="D26" s="1228"/>
      <c r="E26" s="567"/>
      <c r="F26" s="567"/>
      <c r="G26" s="874" t="s">
        <v>428</v>
      </c>
      <c r="H26" s="613" t="s">
        <v>42</v>
      </c>
      <c r="I26" s="1228"/>
      <c r="J26" s="628"/>
      <c r="K26" s="1248"/>
      <c r="L26" s="959"/>
      <c r="M26" s="959"/>
      <c r="N26" s="956"/>
      <c r="O26" s="961"/>
      <c r="P26" s="961"/>
      <c r="Q26" s="961"/>
      <c r="R26" s="961"/>
      <c r="S26" s="961"/>
      <c r="T26" s="961"/>
      <c r="U26" s="961"/>
      <c r="V26" s="962"/>
      <c r="W26" s="963"/>
      <c r="X26" s="321"/>
      <c r="Y26" s="321"/>
      <c r="Z26" s="321"/>
      <c r="AA26" s="321"/>
      <c r="AB26" s="321"/>
      <c r="AC26" s="321"/>
      <c r="AD26" s="321"/>
      <c r="AE26" s="321"/>
    </row>
    <row r="27" spans="1:31" s="964" customFormat="1" ht="8.25" customHeight="1">
      <c r="A27" s="47"/>
      <c r="B27" s="49"/>
      <c r="C27" s="73"/>
      <c r="D27" s="1229"/>
      <c r="E27" s="567"/>
      <c r="F27" s="567"/>
      <c r="G27" s="564"/>
      <c r="H27" s="567"/>
      <c r="I27" s="568"/>
      <c r="J27" s="628"/>
      <c r="K27" s="965"/>
      <c r="L27" s="966"/>
      <c r="M27" s="966"/>
      <c r="N27" s="956"/>
      <c r="O27" s="961"/>
      <c r="P27" s="961"/>
      <c r="Q27" s="961"/>
      <c r="R27" s="961"/>
      <c r="S27" s="961"/>
      <c r="T27" s="961"/>
      <c r="U27" s="961"/>
      <c r="V27" s="962"/>
      <c r="W27" s="963"/>
      <c r="X27" s="321"/>
      <c r="Y27" s="321"/>
      <c r="Z27" s="321"/>
      <c r="AA27" s="321"/>
      <c r="AB27" s="321"/>
      <c r="AC27" s="321"/>
      <c r="AD27" s="321"/>
      <c r="AE27" s="321"/>
    </row>
    <row r="28" spans="1:31" s="964" customFormat="1" ht="18.75" customHeight="1">
      <c r="A28" s="47"/>
      <c r="B28" s="49"/>
      <c r="C28" s="75"/>
      <c r="D28" s="278" t="s">
        <v>43</v>
      </c>
      <c r="E28" s="875" t="s">
        <v>472</v>
      </c>
      <c r="F28" s="612" t="s">
        <v>44</v>
      </c>
      <c r="G28" s="599">
        <f>ReAopt</f>
        <v>0</v>
      </c>
      <c r="H28" s="567"/>
      <c r="I28" s="568"/>
      <c r="J28" s="628"/>
      <c r="K28" s="1245"/>
      <c r="L28" s="1246"/>
      <c r="M28" s="1246"/>
      <c r="N28" s="956"/>
      <c r="O28" s="961"/>
      <c r="P28" s="961"/>
      <c r="Q28" s="961"/>
      <c r="R28" s="961"/>
      <c r="S28" s="961"/>
      <c r="T28" s="961"/>
      <c r="U28" s="961"/>
      <c r="V28" s="962"/>
      <c r="W28" s="963"/>
      <c r="X28" s="321"/>
      <c r="Y28" s="321"/>
      <c r="Z28" s="321"/>
      <c r="AA28" s="321"/>
      <c r="AB28" s="321"/>
      <c r="AC28" s="321"/>
      <c r="AD28" s="321"/>
      <c r="AE28" s="321"/>
    </row>
    <row r="29" spans="1:31" s="964" customFormat="1" ht="8.25" customHeight="1">
      <c r="A29" s="47"/>
      <c r="B29" s="49"/>
      <c r="C29" s="73"/>
      <c r="D29" s="76"/>
      <c r="E29" s="567"/>
      <c r="F29" s="567"/>
      <c r="G29" s="564"/>
      <c r="H29" s="567"/>
      <c r="I29" s="568"/>
      <c r="J29" s="628"/>
      <c r="K29" s="1245"/>
      <c r="L29" s="1246"/>
      <c r="M29" s="1246"/>
      <c r="N29" s="956"/>
      <c r="O29" s="961"/>
      <c r="P29" s="961"/>
      <c r="Q29" s="961"/>
      <c r="R29" s="961"/>
      <c r="S29" s="961"/>
      <c r="T29" s="961"/>
      <c r="U29" s="961"/>
      <c r="V29" s="962"/>
      <c r="W29" s="963"/>
      <c r="X29" s="321"/>
      <c r="Y29" s="321"/>
      <c r="Z29" s="321"/>
      <c r="AA29" s="321"/>
      <c r="AB29" s="321"/>
      <c r="AC29" s="321"/>
      <c r="AD29" s="321"/>
      <c r="AE29" s="321"/>
    </row>
    <row r="30" spans="1:31" s="964" customFormat="1" ht="16.5" customHeight="1">
      <c r="A30" s="54" t="s">
        <v>100</v>
      </c>
      <c r="B30" s="78" t="s">
        <v>45</v>
      </c>
      <c r="C30" s="79"/>
      <c r="D30" s="79"/>
      <c r="E30" s="567"/>
      <c r="F30" s="567"/>
      <c r="G30" s="567"/>
      <c r="H30" s="566"/>
      <c r="I30" s="567"/>
      <c r="J30" s="628"/>
      <c r="K30" s="1245"/>
      <c r="L30" s="1246"/>
      <c r="M30" s="1246"/>
      <c r="N30" s="956"/>
      <c r="O30" s="961"/>
      <c r="P30" s="961"/>
      <c r="Q30" s="961"/>
      <c r="R30" s="961"/>
      <c r="S30" s="961"/>
      <c r="T30" s="961"/>
      <c r="U30" s="961"/>
      <c r="V30" s="962"/>
      <c r="W30" s="963"/>
      <c r="X30" s="321"/>
      <c r="Y30" s="321"/>
      <c r="Z30" s="321"/>
      <c r="AA30" s="321"/>
      <c r="AB30" s="321"/>
      <c r="AC30" s="321"/>
      <c r="AD30" s="321"/>
      <c r="AE30" s="321"/>
    </row>
    <row r="31" spans="1:31" s="964" customFormat="1" ht="16.5" customHeight="1">
      <c r="A31" s="47"/>
      <c r="B31" s="495" t="str">
        <f>IF(Ic=3,"Step-up of the optimum point :  No need to fill this table!", IF(IT&gt;4,"(Type of turbine: Illegal.)",IF(IT=3,"Pump operation","Turbine operation")))</f>
        <v>Turbine operation</v>
      </c>
      <c r="C31" s="48"/>
      <c r="D31" s="48"/>
      <c r="E31" s="567"/>
      <c r="F31" s="567"/>
      <c r="G31" s="567"/>
      <c r="H31" s="566"/>
      <c r="I31" s="567"/>
      <c r="J31" s="628"/>
      <c r="K31" s="967"/>
      <c r="L31" s="957"/>
      <c r="M31" s="957"/>
      <c r="N31" s="956"/>
      <c r="O31" s="961"/>
      <c r="P31" s="961"/>
      <c r="Q31" s="961"/>
      <c r="R31" s="961"/>
      <c r="S31" s="961"/>
      <c r="T31" s="961"/>
      <c r="U31" s="961"/>
      <c r="V31" s="962"/>
      <c r="W31" s="963"/>
      <c r="X31" s="321"/>
      <c r="Y31" s="321"/>
      <c r="Z31" s="321"/>
      <c r="AA31" s="321"/>
      <c r="AB31" s="321"/>
      <c r="AC31" s="321"/>
      <c r="AD31" s="321"/>
      <c r="AE31" s="321"/>
    </row>
    <row r="32" spans="1:31" s="964" customFormat="1" ht="19.5">
      <c r="A32" s="47"/>
      <c r="B32" s="851" t="s">
        <v>430</v>
      </c>
      <c r="C32" s="369" t="s">
        <v>168</v>
      </c>
      <c r="D32" s="1223"/>
      <c r="E32" s="567"/>
      <c r="F32" s="567"/>
      <c r="G32" s="567"/>
      <c r="H32" s="566"/>
      <c r="I32" s="567"/>
      <c r="J32" s="628"/>
      <c r="K32" s="967"/>
      <c r="L32" s="957"/>
      <c r="M32" s="957"/>
      <c r="N32" s="956"/>
      <c r="O32" s="961"/>
      <c r="P32" s="961"/>
      <c r="Q32" s="961"/>
      <c r="R32" s="961"/>
      <c r="S32" s="961"/>
      <c r="T32" s="961"/>
      <c r="U32" s="961"/>
      <c r="V32" s="962"/>
      <c r="W32" s="963"/>
      <c r="X32" s="321"/>
      <c r="Y32" s="321"/>
      <c r="Z32" s="321"/>
      <c r="AA32" s="321"/>
      <c r="AB32" s="321"/>
      <c r="AC32" s="321"/>
      <c r="AD32" s="321"/>
      <c r="AE32" s="321"/>
    </row>
    <row r="33" spans="1:31" s="964" customFormat="1" ht="19.5">
      <c r="A33" s="47"/>
      <c r="B33" s="851" t="s">
        <v>431</v>
      </c>
      <c r="C33" s="369" t="s">
        <v>39</v>
      </c>
      <c r="D33" s="1224"/>
      <c r="E33" s="567"/>
      <c r="F33" s="567"/>
      <c r="G33" s="567"/>
      <c r="H33" s="566"/>
      <c r="I33" s="567"/>
      <c r="J33" s="628"/>
      <c r="K33" s="911"/>
      <c r="L33" s="929"/>
      <c r="M33" s="929"/>
      <c r="N33" s="956"/>
      <c r="O33" s="961"/>
      <c r="P33" s="961"/>
      <c r="Q33" s="961"/>
      <c r="R33" s="961"/>
      <c r="S33" s="961"/>
      <c r="T33" s="961"/>
      <c r="U33" s="961"/>
      <c r="V33" s="962"/>
      <c r="W33" s="963"/>
      <c r="X33" s="321"/>
      <c r="Y33" s="321"/>
      <c r="Z33" s="321"/>
      <c r="AA33" s="321"/>
      <c r="AB33" s="321"/>
      <c r="AC33" s="321"/>
      <c r="AD33" s="321"/>
      <c r="AE33" s="321"/>
    </row>
    <row r="34" spans="1:31" s="964" customFormat="1" ht="19.5">
      <c r="A34" s="47"/>
      <c r="B34" s="851" t="s">
        <v>432</v>
      </c>
      <c r="C34" s="369" t="s">
        <v>40</v>
      </c>
      <c r="D34" s="1225"/>
      <c r="E34" s="567"/>
      <c r="F34" s="567"/>
      <c r="G34" s="567"/>
      <c r="H34" s="566"/>
      <c r="I34" s="567"/>
      <c r="J34" s="628"/>
      <c r="K34" s="968"/>
      <c r="L34" s="969"/>
      <c r="M34" s="969"/>
      <c r="N34" s="956"/>
      <c r="O34" s="961"/>
      <c r="P34" s="961"/>
      <c r="Q34" s="961"/>
      <c r="R34" s="961"/>
      <c r="S34" s="961"/>
      <c r="T34" s="961"/>
      <c r="U34" s="961"/>
      <c r="V34" s="962"/>
      <c r="W34" s="963"/>
      <c r="X34" s="321"/>
      <c r="Y34" s="321"/>
      <c r="Z34" s="321"/>
      <c r="AA34" s="321"/>
      <c r="AB34" s="321"/>
      <c r="AC34" s="321"/>
      <c r="AD34" s="321"/>
      <c r="AE34" s="321"/>
    </row>
    <row r="35" spans="1:31" s="964" customFormat="1" ht="19.5">
      <c r="A35" s="47"/>
      <c r="B35" s="851" t="s">
        <v>470</v>
      </c>
      <c r="C35" s="369" t="s">
        <v>41</v>
      </c>
      <c r="D35" s="1226"/>
      <c r="E35" s="567"/>
      <c r="F35" s="567"/>
      <c r="G35" s="567"/>
      <c r="H35" s="566"/>
      <c r="I35" s="567"/>
      <c r="J35" s="628"/>
      <c r="K35" s="967"/>
      <c r="L35" s="957"/>
      <c r="M35" s="957"/>
      <c r="N35" s="956"/>
      <c r="O35" s="961"/>
      <c r="P35" s="961"/>
      <c r="Q35" s="961"/>
      <c r="R35" s="961"/>
      <c r="S35" s="961"/>
      <c r="T35" s="961"/>
      <c r="U35" s="961"/>
      <c r="V35" s="962"/>
      <c r="W35" s="963"/>
      <c r="X35" s="321"/>
      <c r="Y35" s="321"/>
      <c r="Z35" s="321"/>
      <c r="AA35" s="321"/>
      <c r="AB35" s="321"/>
      <c r="AC35" s="321"/>
      <c r="AD35" s="321"/>
      <c r="AE35" s="321"/>
    </row>
    <row r="36" spans="1:31" s="964" customFormat="1" ht="19.5">
      <c r="A36" s="47"/>
      <c r="B36" s="851" t="s">
        <v>434</v>
      </c>
      <c r="C36" s="369" t="s">
        <v>42</v>
      </c>
      <c r="D36" s="1226"/>
      <c r="E36" s="671" t="s">
        <v>43</v>
      </c>
      <c r="F36" s="666"/>
      <c r="G36" s="875" t="s">
        <v>471</v>
      </c>
      <c r="H36" s="612" t="s">
        <v>44</v>
      </c>
      <c r="I36" s="526">
        <f>ReAi</f>
        <v>0</v>
      </c>
      <c r="J36" s="628"/>
      <c r="K36" s="967"/>
      <c r="L36" s="957"/>
      <c r="M36" s="957"/>
      <c r="N36" s="956"/>
      <c r="O36" s="961"/>
      <c r="P36" s="961"/>
      <c r="Q36" s="961"/>
      <c r="R36" s="961"/>
      <c r="S36" s="961"/>
      <c r="T36" s="961"/>
      <c r="U36" s="961"/>
      <c r="V36" s="962"/>
      <c r="W36" s="963"/>
      <c r="X36" s="322"/>
      <c r="Y36" s="322"/>
      <c r="Z36" s="322"/>
      <c r="AA36" s="322"/>
      <c r="AB36" s="322"/>
      <c r="AC36" s="322"/>
      <c r="AD36" s="322"/>
      <c r="AE36" s="322"/>
    </row>
    <row r="37" spans="1:31" s="964" customFormat="1" ht="6.75" customHeight="1">
      <c r="A37" s="47"/>
      <c r="B37" s="73"/>
      <c r="C37" s="73"/>
      <c r="D37" s="81"/>
      <c r="E37" s="567"/>
      <c r="F37" s="567"/>
      <c r="G37" s="672"/>
      <c r="H37" s="566"/>
      <c r="I37" s="567"/>
      <c r="J37" s="628"/>
      <c r="K37" s="967"/>
      <c r="L37" s="957"/>
      <c r="M37" s="957"/>
      <c r="N37" s="956"/>
      <c r="O37" s="961"/>
      <c r="P37" s="961"/>
      <c r="Q37" s="961"/>
      <c r="R37" s="961"/>
      <c r="S37" s="961"/>
      <c r="T37" s="961"/>
      <c r="U37" s="961"/>
      <c r="V37" s="962"/>
      <c r="W37" s="963"/>
      <c r="X37" s="322"/>
      <c r="Y37" s="322"/>
      <c r="Z37" s="322"/>
      <c r="AA37" s="322"/>
      <c r="AB37" s="322"/>
      <c r="AC37" s="322"/>
      <c r="AD37" s="322"/>
      <c r="AE37" s="322"/>
    </row>
    <row r="38" spans="1:31" s="964" customFormat="1" ht="14">
      <c r="A38" s="54" t="s">
        <v>36</v>
      </c>
      <c r="B38" s="69" t="s">
        <v>197</v>
      </c>
      <c r="C38" s="49"/>
      <c r="D38" s="82"/>
      <c r="E38" s="567"/>
      <c r="F38" s="567"/>
      <c r="G38" s="564"/>
      <c r="H38" s="583"/>
      <c r="I38" s="568"/>
      <c r="J38" s="532"/>
      <c r="K38" s="967"/>
      <c r="L38" s="957"/>
      <c r="M38" s="957"/>
      <c r="N38" s="956"/>
      <c r="O38" s="961"/>
      <c r="P38" s="961"/>
      <c r="Q38" s="961"/>
      <c r="R38" s="961"/>
      <c r="S38" s="961"/>
      <c r="T38" s="961"/>
      <c r="U38" s="961"/>
      <c r="V38" s="962"/>
      <c r="W38" s="963"/>
      <c r="X38" s="322"/>
      <c r="Y38" s="322"/>
      <c r="Z38" s="322"/>
      <c r="AA38" s="322"/>
      <c r="AB38" s="322"/>
      <c r="AC38" s="322"/>
      <c r="AD38" s="322"/>
      <c r="AE38" s="322"/>
    </row>
    <row r="39" spans="1:31" s="964" customFormat="1" ht="8.25" customHeight="1">
      <c r="A39" s="54"/>
      <c r="B39" s="69"/>
      <c r="C39" s="49"/>
      <c r="D39" s="82"/>
      <c r="E39" s="567"/>
      <c r="F39" s="567"/>
      <c r="G39" s="564"/>
      <c r="H39" s="583"/>
      <c r="I39" s="568"/>
      <c r="J39" s="532"/>
      <c r="K39" s="967"/>
      <c r="L39" s="957"/>
      <c r="M39" s="957"/>
      <c r="N39" s="956"/>
      <c r="O39" s="961"/>
      <c r="P39" s="961"/>
      <c r="Q39" s="961"/>
      <c r="R39" s="961"/>
      <c r="S39" s="961"/>
      <c r="T39" s="961"/>
      <c r="U39" s="961"/>
      <c r="V39" s="962"/>
      <c r="W39" s="963"/>
      <c r="X39" s="322"/>
      <c r="Y39" s="322"/>
      <c r="Z39" s="322"/>
      <c r="AA39" s="322"/>
      <c r="AB39" s="322"/>
      <c r="AC39" s="322"/>
      <c r="AD39" s="322"/>
      <c r="AE39" s="322"/>
    </row>
    <row r="40" spans="1:31" s="964" customFormat="1" ht="42" customHeight="1">
      <c r="A40" s="54"/>
      <c r="B40" s="69"/>
      <c r="C40" s="49"/>
      <c r="D40" s="271" t="str">
        <f>IF(Ic=2,"Reference model roughness","Recommended model roughness range")</f>
        <v>Recommended model roughness range</v>
      </c>
      <c r="E40" s="585" t="str">
        <f>IF(Ic=2,"Specified, RaCOM*","Specified, RaCOM")</f>
        <v>Specified, RaCOM</v>
      </c>
      <c r="F40" s="557"/>
      <c r="G40" s="520"/>
      <c r="H40" s="529"/>
      <c r="I40" s="525"/>
      <c r="J40" s="531"/>
      <c r="K40" s="967"/>
      <c r="L40" s="957"/>
      <c r="M40" s="957"/>
      <c r="N40" s="956"/>
      <c r="O40" s="961"/>
      <c r="P40" s="961"/>
      <c r="Q40" s="961"/>
      <c r="R40" s="961"/>
      <c r="S40" s="961"/>
      <c r="T40" s="961"/>
      <c r="U40" s="961"/>
      <c r="V40" s="962"/>
      <c r="W40" s="963"/>
      <c r="X40" s="322"/>
      <c r="Y40" s="322"/>
      <c r="Z40" s="322"/>
      <c r="AA40" s="322"/>
      <c r="AB40" s="322"/>
      <c r="AC40" s="322"/>
      <c r="AD40" s="322"/>
      <c r="AE40" s="322"/>
    </row>
    <row r="41" spans="1:31" s="119" customFormat="1" ht="19.5" customHeight="1">
      <c r="A41" s="47"/>
      <c r="B41" s="854" t="s">
        <v>473</v>
      </c>
      <c r="C41" s="364" t="s">
        <v>46</v>
      </c>
      <c r="D41" s="83" t="str">
        <f>IF(Ic=2,0.8,"0,4 – 1,6")</f>
        <v>0,4 – 1,6</v>
      </c>
      <c r="E41" s="582"/>
      <c r="F41" s="51"/>
      <c r="G41" s="523"/>
      <c r="H41" s="520"/>
      <c r="I41" s="524"/>
      <c r="J41" s="528"/>
      <c r="K41" s="911" t="s">
        <v>200</v>
      </c>
      <c r="L41" s="929"/>
      <c r="M41" s="929"/>
      <c r="N41" s="955"/>
      <c r="O41" s="947"/>
      <c r="P41" s="947"/>
      <c r="Q41" s="947"/>
      <c r="R41" s="947"/>
      <c r="S41" s="947"/>
      <c r="T41" s="947"/>
      <c r="U41" s="947"/>
      <c r="V41" s="948"/>
      <c r="W41" s="924"/>
      <c r="X41" s="321"/>
      <c r="Y41" s="321"/>
      <c r="Z41" s="321"/>
      <c r="AA41" s="321"/>
      <c r="AB41" s="321"/>
      <c r="AC41" s="321"/>
      <c r="AD41" s="321"/>
      <c r="AE41" s="321"/>
    </row>
    <row r="42" spans="1:31" s="119" customFormat="1" ht="18.75" customHeight="1">
      <c r="A42" s="47"/>
      <c r="B42" s="854" t="s">
        <v>437</v>
      </c>
      <c r="C42" s="364" t="s">
        <v>46</v>
      </c>
      <c r="D42" s="83" t="str">
        <f>IF(Ic=2,0.8,"0,4 – 1,6")</f>
        <v>0,4 – 1,6</v>
      </c>
      <c r="E42" s="582"/>
      <c r="F42" s="51"/>
      <c r="G42" s="523"/>
      <c r="H42" s="520"/>
      <c r="I42" s="527"/>
      <c r="J42" s="528"/>
      <c r="K42" s="1247" t="s">
        <v>201</v>
      </c>
      <c r="L42" s="1253"/>
      <c r="M42" s="957"/>
      <c r="N42" s="955"/>
      <c r="O42" s="947"/>
      <c r="P42" s="947"/>
      <c r="Q42" s="947"/>
      <c r="R42" s="947"/>
      <c r="S42" s="947"/>
      <c r="T42" s="947"/>
      <c r="U42" s="947"/>
      <c r="V42" s="948"/>
      <c r="W42" s="924"/>
      <c r="X42" s="321"/>
      <c r="Y42" s="321"/>
      <c r="Z42" s="321"/>
      <c r="AA42" s="321"/>
      <c r="AB42" s="321"/>
      <c r="AC42" s="321"/>
      <c r="AD42" s="321"/>
      <c r="AE42" s="321"/>
    </row>
    <row r="43" spans="1:31" s="119" customFormat="1" ht="19.5">
      <c r="A43" s="47"/>
      <c r="B43" s="854" t="s">
        <v>438</v>
      </c>
      <c r="C43" s="364" t="s">
        <v>46</v>
      </c>
      <c r="D43" s="83" t="str">
        <f>IF(Ic=2,0.4,"0,2 – 0,8")</f>
        <v>0,2 – 0,8</v>
      </c>
      <c r="E43" s="582"/>
      <c r="F43" s="51"/>
      <c r="G43" s="558" t="s">
        <v>161</v>
      </c>
      <c r="H43" s="528"/>
      <c r="I43" s="520"/>
      <c r="J43" s="558"/>
      <c r="K43" s="1247"/>
      <c r="L43" s="1253"/>
      <c r="M43" s="957"/>
      <c r="N43" s="970"/>
      <c r="O43" s="947"/>
      <c r="P43" s="947"/>
      <c r="Q43" s="947"/>
      <c r="R43" s="947"/>
      <c r="S43" s="947"/>
      <c r="T43" s="947"/>
      <c r="U43" s="947"/>
      <c r="V43" s="948"/>
      <c r="W43" s="924"/>
      <c r="X43" s="321"/>
      <c r="Y43" s="321"/>
      <c r="Z43" s="321"/>
      <c r="AA43" s="321"/>
      <c r="AB43" s="321"/>
      <c r="AC43" s="321"/>
      <c r="AD43" s="321"/>
      <c r="AE43" s="321"/>
    </row>
    <row r="44" spans="1:31" s="119" customFormat="1" ht="20.149999999999999" customHeight="1">
      <c r="A44" s="47"/>
      <c r="B44" s="854" t="s">
        <v>439</v>
      </c>
      <c r="C44" s="364" t="s">
        <v>46</v>
      </c>
      <c r="D44" s="83" t="str">
        <f>IF(Ic=2,0.4,"0,2 – 0,8")</f>
        <v>0,2 – 0,8</v>
      </c>
      <c r="E44" s="582"/>
      <c r="F44" s="51"/>
      <c r="G44" s="531"/>
      <c r="H44" s="531"/>
      <c r="I44" s="531"/>
      <c r="J44" s="531"/>
      <c r="K44" s="1247"/>
      <c r="L44" s="1253"/>
      <c r="M44" s="957"/>
      <c r="N44" s="956"/>
      <c r="O44" s="947"/>
      <c r="P44" s="947"/>
      <c r="Q44" s="947"/>
      <c r="R44" s="947"/>
      <c r="S44" s="947"/>
      <c r="T44" s="947"/>
      <c r="U44" s="947"/>
      <c r="V44" s="948"/>
      <c r="W44" s="924"/>
      <c r="X44" s="321"/>
      <c r="Y44" s="321"/>
      <c r="Z44" s="321"/>
      <c r="AA44" s="321"/>
      <c r="AB44" s="321"/>
      <c r="AC44" s="321"/>
      <c r="AD44" s="321"/>
      <c r="AE44" s="321"/>
    </row>
    <row r="45" spans="1:31" s="119" customFormat="1" ht="20.149999999999999" customHeight="1">
      <c r="A45" s="47"/>
      <c r="B45" s="854" t="s">
        <v>474</v>
      </c>
      <c r="C45" s="364" t="s">
        <v>46</v>
      </c>
      <c r="D45" s="83" t="str">
        <f>IF(Ic=2,0.8,"0,4 – 1,6")</f>
        <v>0,4 – 1,6</v>
      </c>
      <c r="E45" s="582"/>
      <c r="F45" s="51"/>
      <c r="G45" s="598"/>
      <c r="H45" s="521"/>
      <c r="I45" s="521"/>
      <c r="J45" s="598"/>
      <c r="K45" s="1247"/>
      <c r="L45" s="1253"/>
      <c r="M45" s="957"/>
      <c r="N45" s="956"/>
      <c r="O45" s="947"/>
      <c r="P45" s="947"/>
      <c r="Q45" s="947"/>
      <c r="R45" s="947"/>
      <c r="S45" s="947"/>
      <c r="T45" s="947"/>
      <c r="U45" s="947"/>
      <c r="V45" s="948"/>
      <c r="W45" s="924"/>
      <c r="X45" s="321"/>
      <c r="Y45" s="321"/>
      <c r="Z45" s="321"/>
      <c r="AA45" s="321"/>
      <c r="AB45" s="321"/>
      <c r="AC45" s="321"/>
      <c r="AD45" s="321"/>
      <c r="AE45" s="321"/>
    </row>
    <row r="46" spans="1:31" s="120" customFormat="1" ht="20.149999999999999" customHeight="1">
      <c r="A46" s="47"/>
      <c r="B46" s="876" t="s">
        <v>475</v>
      </c>
      <c r="C46" s="364" t="s">
        <v>46</v>
      </c>
      <c r="D46" s="83" t="str">
        <f>IF(Ic=2,0.8,"0,4 – 1,6")</f>
        <v>0,4 – 1,6</v>
      </c>
      <c r="E46" s="582"/>
      <c r="F46" s="85"/>
      <c r="G46" s="558" t="s">
        <v>48</v>
      </c>
      <c r="H46" s="528"/>
      <c r="I46" s="520"/>
      <c r="J46" s="558"/>
      <c r="K46" s="1247"/>
      <c r="L46" s="1253"/>
      <c r="M46" s="957"/>
      <c r="N46" s="956"/>
      <c r="O46" s="947"/>
      <c r="P46" s="947"/>
      <c r="Q46" s="947"/>
      <c r="R46" s="947"/>
      <c r="S46" s="947"/>
      <c r="T46" s="947"/>
      <c r="U46" s="947"/>
      <c r="V46" s="948"/>
      <c r="W46" s="971"/>
      <c r="X46" s="972"/>
      <c r="Y46" s="972"/>
      <c r="Z46" s="972"/>
      <c r="AA46" s="972"/>
      <c r="AB46" s="972"/>
      <c r="AC46" s="972"/>
      <c r="AD46" s="972"/>
      <c r="AE46" s="972"/>
    </row>
    <row r="47" spans="1:31" s="119" customFormat="1" ht="20.149999999999999" customHeight="1">
      <c r="A47" s="47"/>
      <c r="B47" s="876" t="s">
        <v>476</v>
      </c>
      <c r="C47" s="364" t="s">
        <v>46</v>
      </c>
      <c r="D47" s="83" t="str">
        <f>IF(Ic=2,0.8,"0,4 – 1,6")</f>
        <v>0,4 – 1,6</v>
      </c>
      <c r="E47" s="582"/>
      <c r="F47" s="52"/>
      <c r="G47" s="558" t="s">
        <v>49</v>
      </c>
      <c r="H47" s="528"/>
      <c r="I47" s="520"/>
      <c r="J47" s="558"/>
      <c r="K47" s="1247"/>
      <c r="L47" s="1253"/>
      <c r="M47" s="957"/>
      <c r="N47" s="956"/>
      <c r="O47" s="973"/>
      <c r="P47" s="973"/>
      <c r="Q47" s="973"/>
      <c r="R47" s="973"/>
      <c r="S47" s="973"/>
      <c r="T47" s="973"/>
      <c r="U47" s="973"/>
      <c r="V47" s="974"/>
      <c r="W47" s="924"/>
      <c r="X47" s="321"/>
      <c r="Y47" s="321"/>
      <c r="Z47" s="321"/>
      <c r="AA47" s="321"/>
      <c r="AB47" s="321"/>
      <c r="AC47" s="321"/>
      <c r="AD47" s="321"/>
      <c r="AE47" s="321"/>
    </row>
    <row r="48" spans="1:31" s="119" customFormat="1" ht="20.149999999999999" customHeight="1">
      <c r="A48" s="47"/>
      <c r="B48" s="86"/>
      <c r="C48" s="87"/>
      <c r="D48" s="88"/>
      <c r="E48" s="567"/>
      <c r="F48" s="567"/>
      <c r="G48" s="530"/>
      <c r="H48" s="564"/>
      <c r="I48" s="564"/>
      <c r="J48" s="532"/>
      <c r="K48" s="1247"/>
      <c r="L48" s="1253"/>
      <c r="M48" s="957"/>
      <c r="N48" s="956"/>
      <c r="O48" s="973"/>
      <c r="P48" s="973"/>
      <c r="Q48" s="973"/>
      <c r="R48" s="973"/>
      <c r="S48" s="973"/>
      <c r="T48" s="973"/>
      <c r="U48" s="973"/>
      <c r="V48" s="974"/>
      <c r="W48" s="924"/>
      <c r="X48" s="321"/>
      <c r="Y48" s="321"/>
      <c r="Z48" s="321"/>
      <c r="AA48" s="321"/>
      <c r="AB48" s="321"/>
      <c r="AC48" s="321"/>
      <c r="AD48" s="321"/>
      <c r="AE48" s="321"/>
    </row>
    <row r="49" spans="1:39" s="119" customFormat="1" ht="20.149999999999999" customHeight="1">
      <c r="A49" s="54" t="s">
        <v>22</v>
      </c>
      <c r="B49" s="69" t="s">
        <v>196</v>
      </c>
      <c r="C49" s="49"/>
      <c r="D49" s="82"/>
      <c r="E49" s="567"/>
      <c r="F49" s="567"/>
      <c r="G49" s="530"/>
      <c r="H49" s="564"/>
      <c r="I49" s="564"/>
      <c r="J49" s="532"/>
      <c r="K49" s="975" t="s">
        <v>67</v>
      </c>
      <c r="L49" s="936"/>
      <c r="M49" s="957"/>
      <c r="N49" s="956"/>
      <c r="O49" s="973"/>
      <c r="P49" s="973"/>
      <c r="Q49" s="973"/>
      <c r="R49" s="973"/>
      <c r="S49" s="973"/>
      <c r="T49" s="973"/>
      <c r="U49" s="973"/>
      <c r="V49" s="974"/>
      <c r="W49" s="924"/>
      <c r="X49" s="321"/>
      <c r="Y49" s="321"/>
      <c r="Z49" s="321"/>
      <c r="AA49" s="321"/>
      <c r="AB49" s="321"/>
      <c r="AC49" s="321"/>
      <c r="AD49" s="321"/>
      <c r="AE49" s="321"/>
    </row>
    <row r="50" spans="1:39" s="119" customFormat="1" ht="20.149999999999999" customHeight="1">
      <c r="A50" s="64"/>
      <c r="B50" s="89" t="s">
        <v>264</v>
      </c>
      <c r="C50" s="66"/>
      <c r="D50" s="66"/>
      <c r="E50" s="664"/>
      <c r="F50" s="673"/>
      <c r="G50" s="665"/>
      <c r="H50" s="665"/>
      <c r="I50" s="665"/>
      <c r="J50" s="665"/>
      <c r="K50" s="1247" t="s">
        <v>202</v>
      </c>
      <c r="L50" s="1253"/>
      <c r="M50" s="957"/>
      <c r="N50" s="956"/>
      <c r="O50" s="976"/>
      <c r="P50" s="976"/>
      <c r="Q50" s="976"/>
      <c r="R50" s="976"/>
      <c r="S50" s="976"/>
      <c r="T50" s="976"/>
      <c r="U50" s="976"/>
      <c r="V50" s="974"/>
      <c r="W50" s="924"/>
      <c r="X50" s="321"/>
      <c r="Y50" s="321"/>
      <c r="Z50" s="321"/>
      <c r="AA50" s="321"/>
      <c r="AB50" s="321"/>
      <c r="AC50" s="321"/>
      <c r="AD50" s="321"/>
      <c r="AE50" s="321"/>
    </row>
    <row r="51" spans="1:39" s="119" customFormat="1" ht="32.5" customHeight="1">
      <c r="A51" s="92"/>
      <c r="B51" s="93" t="s">
        <v>50</v>
      </c>
      <c r="C51" s="94"/>
      <c r="D51" s="95" t="s">
        <v>292</v>
      </c>
      <c r="E51" s="770" t="str">
        <f>IF(Ic=1,IF(Homol_seal="N","Please, fill hereunder data for model runner seal geometry","No need to fill the following data"),IF(Homol_seal="N",IF(Ic=2,"Please, copy hereunder data from reference model runner seal geometry of step 1 (Runner B)","Please, fill hereunder, the required data for model runner seal geometry"),"No need to fill the following data"))</f>
        <v>Please, fill hereunder data for model runner seal geometry</v>
      </c>
      <c r="F51" s="769"/>
      <c r="G51" s="769"/>
      <c r="H51" s="769"/>
      <c r="I51" s="769"/>
      <c r="J51" s="769"/>
      <c r="K51" s="1247"/>
      <c r="L51" s="1253"/>
      <c r="M51" s="957"/>
      <c r="N51" s="956"/>
      <c r="O51" s="976"/>
      <c r="P51" s="976"/>
      <c r="Q51" s="976"/>
      <c r="R51" s="976"/>
      <c r="S51" s="976"/>
      <c r="T51" s="976"/>
      <c r="U51" s="976"/>
      <c r="V51" s="974"/>
      <c r="W51" s="924"/>
      <c r="X51" s="321"/>
      <c r="Y51" s="321"/>
      <c r="Z51" s="321"/>
      <c r="AA51" s="321"/>
      <c r="AB51" s="321"/>
      <c r="AC51" s="321"/>
      <c r="AD51" s="321"/>
      <c r="AE51" s="321"/>
    </row>
    <row r="52" spans="1:39" s="119" customFormat="1" ht="12" customHeight="1">
      <c r="A52" s="92"/>
      <c r="B52" s="266"/>
      <c r="C52" s="256"/>
      <c r="D52" s="267"/>
      <c r="E52" s="1273" t="str">
        <f>IF(Ic=1,IF(Homol_seal="N","Homologous seal geometry of reference model is automatically inserted in runner B seal geometry from line 111 to line 132."," ")," ")</f>
        <v>Homologous seal geometry of reference model is automatically inserted in runner B seal geometry from line 111 to line 132.</v>
      </c>
      <c r="F52" s="1274"/>
      <c r="G52" s="1274"/>
      <c r="H52" s="1274"/>
      <c r="I52" s="1274"/>
      <c r="J52" s="1274"/>
      <c r="K52" s="1247"/>
      <c r="L52" s="1253"/>
      <c r="M52" s="977"/>
      <c r="N52" s="956"/>
      <c r="O52" s="976"/>
      <c r="P52" s="976"/>
      <c r="Q52" s="976"/>
      <c r="R52" s="976"/>
      <c r="S52" s="976"/>
      <c r="T52" s="976"/>
      <c r="U52" s="976"/>
      <c r="V52" s="974"/>
      <c r="W52" s="924"/>
      <c r="X52" s="321"/>
      <c r="Y52" s="321"/>
      <c r="Z52" s="321"/>
      <c r="AA52" s="321"/>
      <c r="AB52" s="321"/>
      <c r="AC52" s="321"/>
      <c r="AD52" s="321"/>
      <c r="AE52" s="321"/>
    </row>
    <row r="53" spans="1:39" s="119" customFormat="1" ht="18.75" customHeight="1">
      <c r="A53" s="54" t="s">
        <v>192</v>
      </c>
      <c r="B53" s="96" t="s">
        <v>51</v>
      </c>
      <c r="C53" s="97"/>
      <c r="D53" s="98"/>
      <c r="E53" s="1274"/>
      <c r="F53" s="1274"/>
      <c r="G53" s="1274"/>
      <c r="H53" s="1274"/>
      <c r="I53" s="1274"/>
      <c r="J53" s="1274"/>
      <c r="K53" s="1247"/>
      <c r="L53" s="1253"/>
      <c r="M53" s="957"/>
      <c r="N53" s="956"/>
      <c r="O53" s="976"/>
      <c r="P53" s="976"/>
      <c r="Q53" s="976"/>
      <c r="R53" s="976"/>
      <c r="S53" s="976"/>
      <c r="T53" s="976"/>
      <c r="U53" s="976"/>
      <c r="V53" s="974"/>
      <c r="W53" s="924"/>
      <c r="X53" s="978"/>
      <c r="Y53" s="978"/>
      <c r="Z53" s="978"/>
      <c r="AA53" s="978"/>
      <c r="AB53" s="978"/>
      <c r="AC53" s="978"/>
      <c r="AD53" s="978"/>
      <c r="AE53" s="978"/>
      <c r="AF53" s="979"/>
      <c r="AG53" s="979"/>
      <c r="AH53" s="979"/>
      <c r="AI53" s="979"/>
      <c r="AJ53" s="979"/>
      <c r="AK53" s="979"/>
      <c r="AL53" s="979"/>
      <c r="AM53" s="979"/>
    </row>
    <row r="54" spans="1:39" s="979" customFormat="1" ht="18.75" customHeight="1">
      <c r="A54" s="99"/>
      <c r="B54" s="462" t="s">
        <v>216</v>
      </c>
      <c r="C54" s="463" t="s">
        <v>52</v>
      </c>
      <c r="D54" s="461"/>
      <c r="E54" s="651"/>
      <c r="F54" s="651"/>
      <c r="G54" s="617" t="s">
        <v>217</v>
      </c>
      <c r="H54" s="618" t="s">
        <v>53</v>
      </c>
      <c r="I54" s="616"/>
      <c r="J54" s="591"/>
      <c r="K54" s="967"/>
      <c r="L54" s="957"/>
      <c r="M54" s="957"/>
      <c r="N54" s="956"/>
      <c r="O54" s="976"/>
      <c r="P54" s="976"/>
      <c r="Q54" s="976"/>
      <c r="R54" s="976"/>
      <c r="S54" s="976"/>
      <c r="T54" s="976"/>
      <c r="U54" s="976"/>
      <c r="V54" s="974"/>
      <c r="W54" s="980"/>
      <c r="X54" s="321"/>
      <c r="Y54" s="321"/>
      <c r="Z54" s="321"/>
      <c r="AA54" s="321"/>
      <c r="AB54" s="321"/>
      <c r="AC54" s="321"/>
      <c r="AD54" s="321"/>
      <c r="AE54" s="321"/>
      <c r="AF54" s="119"/>
      <c r="AG54" s="119"/>
      <c r="AH54" s="119"/>
      <c r="AI54" s="119"/>
      <c r="AJ54" s="119"/>
      <c r="AK54" s="119"/>
      <c r="AL54" s="119"/>
      <c r="AM54" s="119"/>
    </row>
    <row r="55" spans="1:39" s="119" customFormat="1" ht="22.5" customHeight="1">
      <c r="A55" s="100"/>
      <c r="B55" s="101" t="s">
        <v>54</v>
      </c>
      <c r="C55" s="101" t="s">
        <v>55</v>
      </c>
      <c r="D55" s="279" t="s">
        <v>56</v>
      </c>
      <c r="E55" s="659"/>
      <c r="F55" s="659"/>
      <c r="G55" s="535" t="s">
        <v>57</v>
      </c>
      <c r="H55" s="534" t="s">
        <v>55</v>
      </c>
      <c r="I55" s="595" t="s">
        <v>56</v>
      </c>
      <c r="J55" s="627"/>
      <c r="K55" s="967"/>
      <c r="L55" s="957"/>
      <c r="M55" s="957"/>
      <c r="N55" s="956"/>
      <c r="O55" s="976"/>
      <c r="P55" s="976"/>
      <c r="Q55" s="976"/>
      <c r="R55" s="976"/>
      <c r="S55" s="976"/>
      <c r="T55" s="976"/>
      <c r="U55" s="976"/>
      <c r="V55" s="974"/>
      <c r="W55" s="924"/>
      <c r="X55" s="321"/>
      <c r="Y55" s="321"/>
      <c r="Z55" s="321"/>
      <c r="AA55" s="321"/>
      <c r="AB55" s="321"/>
      <c r="AC55" s="321"/>
      <c r="AD55" s="321"/>
      <c r="AE55" s="321"/>
    </row>
    <row r="56" spans="1:39" s="119" customFormat="1" ht="17.25" customHeight="1">
      <c r="A56" s="47"/>
      <c r="B56" s="103" t="s">
        <v>58</v>
      </c>
      <c r="C56" s="835" t="s">
        <v>347</v>
      </c>
      <c r="D56" s="1222"/>
      <c r="E56" s="596"/>
      <c r="F56" s="593"/>
      <c r="G56" s="536" t="s">
        <v>58</v>
      </c>
      <c r="H56" s="835" t="s">
        <v>356</v>
      </c>
      <c r="I56" s="1222"/>
      <c r="J56" s="630"/>
      <c r="K56" s="911" t="s">
        <v>71</v>
      </c>
      <c r="L56" s="929"/>
      <c r="M56" s="929"/>
      <c r="N56" s="981"/>
      <c r="O56" s="976"/>
      <c r="P56" s="976"/>
      <c r="Q56" s="976"/>
      <c r="R56" s="976"/>
      <c r="S56" s="976"/>
      <c r="T56" s="976"/>
      <c r="U56" s="976"/>
      <c r="V56" s="974"/>
      <c r="W56" s="924"/>
      <c r="X56" s="808"/>
      <c r="Y56" s="808"/>
      <c r="Z56" s="808"/>
      <c r="AA56" s="808"/>
      <c r="AB56" s="808"/>
      <c r="AC56" s="808"/>
      <c r="AD56" s="808"/>
      <c r="AE56" s="808"/>
      <c r="AF56" s="982"/>
      <c r="AG56" s="982"/>
      <c r="AH56" s="982"/>
      <c r="AI56" s="982"/>
      <c r="AJ56" s="982"/>
      <c r="AK56" s="982"/>
      <c r="AL56" s="982"/>
      <c r="AM56" s="982"/>
    </row>
    <row r="57" spans="1:39" s="982" customFormat="1" ht="20.25" customHeight="1">
      <c r="A57" s="47"/>
      <c r="B57" s="105" t="s">
        <v>59</v>
      </c>
      <c r="C57" s="836" t="s">
        <v>348</v>
      </c>
      <c r="D57" s="584"/>
      <c r="E57" s="597"/>
      <c r="F57" s="594"/>
      <c r="G57" s="537" t="s">
        <v>59</v>
      </c>
      <c r="H57" s="836" t="s">
        <v>357</v>
      </c>
      <c r="I57" s="584"/>
      <c r="J57" s="532"/>
      <c r="K57" s="1247" t="s">
        <v>208</v>
      </c>
      <c r="L57" s="1253"/>
      <c r="M57" s="957"/>
      <c r="N57" s="956"/>
      <c r="O57" s="976"/>
      <c r="P57" s="976"/>
      <c r="Q57" s="976"/>
      <c r="R57" s="976"/>
      <c r="S57" s="976"/>
      <c r="T57" s="976"/>
      <c r="U57" s="976"/>
      <c r="V57" s="974"/>
      <c r="W57" s="983"/>
      <c r="X57" s="984"/>
      <c r="Y57" s="984"/>
      <c r="Z57" s="984"/>
      <c r="AA57" s="984"/>
      <c r="AB57" s="984"/>
      <c r="AC57" s="984"/>
      <c r="AD57" s="984"/>
      <c r="AE57" s="984"/>
      <c r="AF57" s="125"/>
      <c r="AG57" s="125"/>
      <c r="AH57" s="125"/>
      <c r="AI57" s="125"/>
      <c r="AJ57" s="125"/>
      <c r="AK57" s="125"/>
      <c r="AL57" s="125"/>
      <c r="AM57" s="125"/>
    </row>
    <row r="58" spans="1:39" s="125" customFormat="1" ht="18.649999999999999" customHeight="1">
      <c r="A58" s="47"/>
      <c r="B58" s="107"/>
      <c r="C58" s="836" t="s">
        <v>349</v>
      </c>
      <c r="D58" s="584"/>
      <c r="E58" s="597"/>
      <c r="F58" s="594"/>
      <c r="G58" s="538"/>
      <c r="H58" s="836" t="s">
        <v>358</v>
      </c>
      <c r="I58" s="584"/>
      <c r="J58" s="674"/>
      <c r="K58" s="1247"/>
      <c r="L58" s="1253"/>
      <c r="M58" s="957"/>
      <c r="N58" s="956"/>
      <c r="O58" s="984"/>
      <c r="P58" s="984"/>
      <c r="Q58" s="984"/>
      <c r="R58" s="984"/>
      <c r="S58" s="984"/>
      <c r="T58" s="984"/>
      <c r="U58" s="984"/>
      <c r="V58" s="985"/>
      <c r="W58" s="985"/>
      <c r="X58" s="986"/>
      <c r="Y58" s="986"/>
      <c r="Z58" s="986"/>
      <c r="AA58" s="986"/>
      <c r="AB58" s="986"/>
      <c r="AC58" s="986"/>
      <c r="AD58" s="986"/>
      <c r="AE58" s="986"/>
      <c r="AF58" s="987"/>
      <c r="AG58" s="987"/>
      <c r="AH58" s="987"/>
      <c r="AI58" s="987"/>
      <c r="AJ58" s="987"/>
      <c r="AK58" s="987"/>
      <c r="AL58" s="987"/>
      <c r="AM58" s="987"/>
    </row>
    <row r="59" spans="1:39" s="987" customFormat="1" ht="18.649999999999999" customHeight="1">
      <c r="A59" s="47"/>
      <c r="B59" s="107"/>
      <c r="C59" s="836" t="s">
        <v>350</v>
      </c>
      <c r="D59" s="584"/>
      <c r="E59" s="597"/>
      <c r="F59" s="594"/>
      <c r="G59" s="538"/>
      <c r="H59" s="836" t="s">
        <v>359</v>
      </c>
      <c r="I59" s="584"/>
      <c r="J59" s="675"/>
      <c r="K59" s="1247"/>
      <c r="L59" s="1253"/>
      <c r="M59" s="957"/>
      <c r="N59" s="956"/>
      <c r="O59" s="986"/>
      <c r="P59" s="986"/>
      <c r="Q59" s="986"/>
      <c r="R59" s="986"/>
      <c r="S59" s="986"/>
      <c r="T59" s="986"/>
      <c r="U59" s="986"/>
      <c r="V59" s="988"/>
      <c r="W59" s="988"/>
      <c r="X59" s="321"/>
      <c r="Y59" s="321"/>
      <c r="Z59" s="321"/>
      <c r="AA59" s="321"/>
      <c r="AB59" s="321"/>
      <c r="AC59" s="321"/>
      <c r="AD59" s="321"/>
      <c r="AE59" s="321"/>
      <c r="AF59" s="119"/>
      <c r="AG59" s="119"/>
      <c r="AH59" s="119"/>
      <c r="AI59" s="119"/>
      <c r="AJ59" s="119"/>
      <c r="AK59" s="119"/>
      <c r="AL59" s="119"/>
      <c r="AM59" s="119"/>
    </row>
    <row r="60" spans="1:39" s="119" customFormat="1" ht="18.649999999999999" customHeight="1">
      <c r="A60" s="47"/>
      <c r="B60" s="108"/>
      <c r="C60" s="836" t="s">
        <v>351</v>
      </c>
      <c r="D60" s="584"/>
      <c r="E60" s="597"/>
      <c r="F60" s="594"/>
      <c r="G60" s="539"/>
      <c r="H60" s="836" t="s">
        <v>360</v>
      </c>
      <c r="I60" s="584"/>
      <c r="J60" s="532"/>
      <c r="K60" s="1247"/>
      <c r="L60" s="1253"/>
      <c r="M60" s="957"/>
      <c r="N60" s="956"/>
      <c r="O60" s="976"/>
      <c r="P60" s="976"/>
      <c r="Q60" s="976"/>
      <c r="R60" s="976"/>
      <c r="S60" s="976"/>
      <c r="T60" s="976"/>
      <c r="U60" s="976"/>
      <c r="V60" s="974"/>
      <c r="W60" s="924"/>
      <c r="X60" s="321"/>
      <c r="Y60" s="321"/>
      <c r="Z60" s="321"/>
      <c r="AA60" s="321"/>
      <c r="AB60" s="321"/>
      <c r="AC60" s="321"/>
      <c r="AD60" s="321"/>
      <c r="AE60" s="321"/>
    </row>
    <row r="61" spans="1:39" s="119" customFormat="1" ht="18.649999999999999" customHeight="1">
      <c r="A61" s="47"/>
      <c r="B61" s="109" t="s">
        <v>60</v>
      </c>
      <c r="C61" s="836" t="s">
        <v>352</v>
      </c>
      <c r="D61" s="584"/>
      <c r="E61" s="597"/>
      <c r="F61" s="594"/>
      <c r="G61" s="540" t="s">
        <v>61</v>
      </c>
      <c r="H61" s="836" t="s">
        <v>361</v>
      </c>
      <c r="I61" s="584"/>
      <c r="J61" s="532"/>
      <c r="K61" s="1247"/>
      <c r="L61" s="1253"/>
      <c r="M61" s="957"/>
      <c r="N61" s="956"/>
      <c r="O61" s="947"/>
      <c r="P61" s="947"/>
      <c r="Q61" s="947"/>
      <c r="R61" s="947"/>
      <c r="S61" s="947"/>
      <c r="T61" s="947"/>
      <c r="U61" s="947"/>
      <c r="V61" s="948"/>
      <c r="W61" s="924"/>
      <c r="X61" s="321"/>
      <c r="Y61" s="321"/>
      <c r="Z61" s="321"/>
      <c r="AA61" s="321"/>
      <c r="AB61" s="321"/>
      <c r="AC61" s="321"/>
      <c r="AD61" s="321"/>
      <c r="AE61" s="321"/>
    </row>
    <row r="62" spans="1:39" s="119" customFormat="1" ht="18.649999999999999" customHeight="1">
      <c r="A62" s="47"/>
      <c r="B62" s="110"/>
      <c r="C62" s="836" t="s">
        <v>353</v>
      </c>
      <c r="D62" s="584"/>
      <c r="E62" s="597"/>
      <c r="F62" s="594"/>
      <c r="G62" s="541"/>
      <c r="H62" s="836" t="s">
        <v>362</v>
      </c>
      <c r="I62" s="584"/>
      <c r="J62" s="532"/>
      <c r="K62" s="1247"/>
      <c r="L62" s="1253"/>
      <c r="M62" s="957"/>
      <c r="N62" s="956"/>
      <c r="O62" s="973"/>
      <c r="P62" s="973"/>
      <c r="Q62" s="973"/>
      <c r="R62" s="973"/>
      <c r="S62" s="973"/>
      <c r="T62" s="973"/>
      <c r="U62" s="973"/>
      <c r="V62" s="974"/>
      <c r="W62" s="924"/>
      <c r="X62" s="321"/>
      <c r="Y62" s="321"/>
      <c r="Z62" s="321"/>
      <c r="AA62" s="321"/>
      <c r="AB62" s="321"/>
      <c r="AC62" s="321"/>
      <c r="AD62" s="321"/>
      <c r="AE62" s="321"/>
    </row>
    <row r="63" spans="1:39" s="119" customFormat="1" ht="18.649999999999999" customHeight="1">
      <c r="A63" s="47"/>
      <c r="B63" s="110"/>
      <c r="C63" s="836" t="s">
        <v>354</v>
      </c>
      <c r="D63" s="584"/>
      <c r="E63" s="597"/>
      <c r="F63" s="594"/>
      <c r="G63" s="541"/>
      <c r="H63" s="836" t="s">
        <v>363</v>
      </c>
      <c r="I63" s="584"/>
      <c r="J63" s="532"/>
      <c r="K63" s="1247"/>
      <c r="L63" s="1253"/>
      <c r="M63" s="957"/>
      <c r="N63" s="956"/>
      <c r="O63" s="973"/>
      <c r="P63" s="973"/>
      <c r="Q63" s="973"/>
      <c r="R63" s="973"/>
      <c r="S63" s="973"/>
      <c r="T63" s="973"/>
      <c r="U63" s="973"/>
      <c r="V63" s="974"/>
      <c r="W63" s="924"/>
      <c r="X63" s="321"/>
      <c r="Y63" s="321"/>
      <c r="Z63" s="321"/>
      <c r="AA63" s="321"/>
      <c r="AB63" s="321"/>
      <c r="AC63" s="321"/>
      <c r="AD63" s="321"/>
      <c r="AE63" s="321"/>
    </row>
    <row r="64" spans="1:39" s="119" customFormat="1" ht="18.649999999999999" customHeight="1">
      <c r="A64" s="47"/>
      <c r="B64" s="542"/>
      <c r="C64" s="836" t="s">
        <v>355</v>
      </c>
      <c r="D64" s="584"/>
      <c r="E64" s="597"/>
      <c r="F64" s="594"/>
      <c r="G64" s="542"/>
      <c r="H64" s="836" t="s">
        <v>364</v>
      </c>
      <c r="I64" s="584"/>
      <c r="J64" s="532"/>
      <c r="K64" s="1247"/>
      <c r="L64" s="1253"/>
      <c r="M64" s="957"/>
      <c r="N64" s="956"/>
      <c r="O64" s="974"/>
      <c r="P64" s="974"/>
      <c r="Q64" s="974"/>
      <c r="R64" s="974"/>
      <c r="S64" s="974"/>
      <c r="T64" s="974"/>
      <c r="U64" s="974"/>
      <c r="V64" s="974"/>
      <c r="W64" s="924"/>
      <c r="X64" s="321"/>
      <c r="Y64" s="321"/>
      <c r="Z64" s="321"/>
      <c r="AA64" s="321"/>
      <c r="AB64" s="321"/>
      <c r="AC64" s="321"/>
      <c r="AD64" s="321"/>
      <c r="AE64" s="321"/>
    </row>
    <row r="65" spans="1:39" s="119" customFormat="1" ht="6.75" customHeight="1">
      <c r="A65" s="47"/>
      <c r="B65" s="112"/>
      <c r="C65" s="112"/>
      <c r="D65" s="113"/>
      <c r="E65" s="544"/>
      <c r="F65" s="544"/>
      <c r="G65" s="543"/>
      <c r="H65" s="543"/>
      <c r="I65" s="544"/>
      <c r="J65" s="532"/>
      <c r="K65" s="1247"/>
      <c r="L65" s="1253"/>
      <c r="M65" s="957"/>
      <c r="N65" s="956"/>
      <c r="O65" s="976"/>
      <c r="P65" s="976"/>
      <c r="Q65" s="976"/>
      <c r="R65" s="976"/>
      <c r="S65" s="976"/>
      <c r="T65" s="976"/>
      <c r="U65" s="976"/>
      <c r="V65" s="974"/>
      <c r="W65" s="924"/>
      <c r="X65" s="321"/>
      <c r="Y65" s="321"/>
      <c r="Z65" s="321"/>
      <c r="AA65" s="321"/>
      <c r="AB65" s="321"/>
      <c r="AC65" s="321"/>
      <c r="AD65" s="321"/>
      <c r="AE65" s="321"/>
    </row>
    <row r="66" spans="1:39" s="119" customFormat="1" ht="18.649999999999999" customHeight="1">
      <c r="A66" s="54" t="s">
        <v>193</v>
      </c>
      <c r="B66" s="96" t="s">
        <v>62</v>
      </c>
      <c r="C66" s="90"/>
      <c r="D66" s="98"/>
      <c r="E66" s="660"/>
      <c r="F66" s="660"/>
      <c r="G66" s="574"/>
      <c r="H66" s="574"/>
      <c r="I66" s="676"/>
      <c r="J66" s="628"/>
      <c r="K66" s="1247"/>
      <c r="L66" s="1253"/>
      <c r="M66" s="922"/>
      <c r="N66" s="981"/>
      <c r="O66" s="976"/>
      <c r="P66" s="976"/>
      <c r="Q66" s="976"/>
      <c r="R66" s="976"/>
      <c r="S66" s="976"/>
      <c r="T66" s="976"/>
      <c r="U66" s="976"/>
      <c r="V66" s="974"/>
      <c r="W66" s="924"/>
      <c r="X66" s="321"/>
      <c r="Y66" s="321"/>
      <c r="Z66" s="321"/>
      <c r="AA66" s="321"/>
      <c r="AB66" s="321"/>
      <c r="AC66" s="321"/>
      <c r="AD66" s="321"/>
      <c r="AE66" s="321"/>
    </row>
    <row r="67" spans="1:39" s="119" customFormat="1" ht="14">
      <c r="A67" s="47"/>
      <c r="B67" s="462" t="s">
        <v>219</v>
      </c>
      <c r="C67" s="463" t="s">
        <v>52</v>
      </c>
      <c r="D67" s="386"/>
      <c r="E67" s="651"/>
      <c r="F67" s="651"/>
      <c r="G67" s="617" t="s">
        <v>218</v>
      </c>
      <c r="H67" s="618" t="s">
        <v>53</v>
      </c>
      <c r="I67" s="615"/>
      <c r="J67" s="532"/>
      <c r="K67" s="921"/>
      <c r="L67" s="922"/>
      <c r="M67" s="922"/>
      <c r="N67" s="981"/>
      <c r="O67" s="976"/>
      <c r="P67" s="976"/>
      <c r="Q67" s="976"/>
      <c r="R67" s="976"/>
      <c r="S67" s="976"/>
      <c r="T67" s="976"/>
      <c r="U67" s="976"/>
      <c r="V67" s="974"/>
      <c r="W67" s="924"/>
      <c r="X67" s="321"/>
      <c r="Y67" s="321"/>
      <c r="Z67" s="321"/>
      <c r="AA67" s="321"/>
      <c r="AB67" s="321"/>
      <c r="AC67" s="321"/>
      <c r="AD67" s="321"/>
      <c r="AE67" s="321"/>
    </row>
    <row r="68" spans="1:39" s="119" customFormat="1" ht="18" customHeight="1">
      <c r="A68" s="47"/>
      <c r="B68" s="102" t="s">
        <v>57</v>
      </c>
      <c r="C68" s="114" t="s">
        <v>55</v>
      </c>
      <c r="D68" s="279" t="s">
        <v>56</v>
      </c>
      <c r="E68" s="661"/>
      <c r="F68" s="661"/>
      <c r="G68" s="535" t="s">
        <v>57</v>
      </c>
      <c r="H68" s="545" t="s">
        <v>55</v>
      </c>
      <c r="I68" s="595" t="s">
        <v>56</v>
      </c>
      <c r="J68" s="532"/>
      <c r="K68" s="989"/>
      <c r="L68" s="990"/>
      <c r="M68" s="990"/>
      <c r="N68" s="981"/>
      <c r="O68" s="976"/>
      <c r="P68" s="976"/>
      <c r="Q68" s="976"/>
      <c r="R68" s="976"/>
      <c r="S68" s="976"/>
      <c r="T68" s="976"/>
      <c r="U68" s="976"/>
      <c r="V68" s="974"/>
      <c r="W68" s="924"/>
      <c r="X68" s="322"/>
      <c r="Y68" s="322"/>
      <c r="Z68" s="322"/>
      <c r="AA68" s="322"/>
      <c r="AB68" s="322"/>
      <c r="AC68" s="322"/>
      <c r="AD68" s="322"/>
      <c r="AE68" s="322"/>
      <c r="AF68" s="964"/>
      <c r="AG68" s="964"/>
      <c r="AH68" s="964"/>
      <c r="AI68" s="964"/>
      <c r="AJ68" s="964"/>
      <c r="AK68" s="964"/>
      <c r="AL68" s="964"/>
      <c r="AM68" s="964"/>
    </row>
    <row r="69" spans="1:39" s="964" customFormat="1" ht="18.649999999999999" customHeight="1">
      <c r="A69" s="47"/>
      <c r="B69" s="104" t="s">
        <v>58</v>
      </c>
      <c r="C69" s="835" t="s">
        <v>365</v>
      </c>
      <c r="D69" s="1220"/>
      <c r="E69" s="596"/>
      <c r="F69" s="593"/>
      <c r="G69" s="546" t="s">
        <v>58</v>
      </c>
      <c r="H69" s="835" t="s">
        <v>374</v>
      </c>
      <c r="I69" s="1222"/>
      <c r="J69" s="532"/>
      <c r="K69" s="921"/>
      <c r="L69" s="922"/>
      <c r="M69" s="922"/>
      <c r="N69" s="991"/>
      <c r="O69" s="992"/>
      <c r="P69" s="992"/>
      <c r="Q69" s="992"/>
      <c r="R69" s="992"/>
      <c r="S69" s="992"/>
      <c r="T69" s="992"/>
      <c r="U69" s="992"/>
      <c r="V69" s="993"/>
      <c r="W69" s="963"/>
      <c r="X69" s="321"/>
      <c r="Y69" s="321"/>
      <c r="Z69" s="321"/>
      <c r="AA69" s="321"/>
      <c r="AB69" s="321"/>
      <c r="AC69" s="321"/>
      <c r="AD69" s="321"/>
      <c r="AE69" s="321"/>
      <c r="AF69" s="119"/>
      <c r="AG69" s="119"/>
      <c r="AH69" s="119"/>
      <c r="AI69" s="119"/>
      <c r="AJ69" s="119"/>
      <c r="AK69" s="119"/>
      <c r="AL69" s="119"/>
      <c r="AM69" s="119"/>
    </row>
    <row r="70" spans="1:39" s="119" customFormat="1" ht="18.649999999999999" customHeight="1">
      <c r="A70" s="47"/>
      <c r="B70" s="105" t="s">
        <v>59</v>
      </c>
      <c r="C70" s="836" t="s">
        <v>366</v>
      </c>
      <c r="D70" s="1221"/>
      <c r="E70" s="597"/>
      <c r="F70" s="594"/>
      <c r="G70" s="547" t="s">
        <v>59</v>
      </c>
      <c r="H70" s="836" t="s">
        <v>375</v>
      </c>
      <c r="I70" s="584"/>
      <c r="J70" s="532"/>
      <c r="K70" s="921"/>
      <c r="L70" s="922"/>
      <c r="M70" s="922"/>
      <c r="N70" s="994"/>
      <c r="O70" s="943" t="s">
        <v>63</v>
      </c>
      <c r="P70" s="976"/>
      <c r="Q70" s="976"/>
      <c r="R70" s="976"/>
      <c r="S70" s="976"/>
      <c r="T70" s="976"/>
      <c r="U70" s="976"/>
      <c r="V70" s="974"/>
      <c r="W70" s="924"/>
      <c r="X70" s="321"/>
      <c r="Y70" s="321"/>
      <c r="Z70" s="321"/>
      <c r="AA70" s="321"/>
      <c r="AB70" s="321"/>
      <c r="AC70" s="321"/>
      <c r="AD70" s="321"/>
      <c r="AE70" s="321"/>
    </row>
    <row r="71" spans="1:39" s="119" customFormat="1" ht="18.649999999999999" customHeight="1">
      <c r="A71" s="47"/>
      <c r="B71" s="107"/>
      <c r="C71" s="836" t="s">
        <v>367</v>
      </c>
      <c r="D71" s="1221"/>
      <c r="E71" s="597"/>
      <c r="F71" s="594"/>
      <c r="G71" s="548"/>
      <c r="H71" s="836" t="s">
        <v>376</v>
      </c>
      <c r="I71" s="584"/>
      <c r="J71" s="532"/>
      <c r="K71" s="921"/>
      <c r="L71" s="922"/>
      <c r="M71" s="922"/>
      <c r="N71" s="994"/>
      <c r="O71" s="976"/>
      <c r="P71" s="976"/>
      <c r="Q71" s="976"/>
      <c r="R71" s="976"/>
      <c r="S71" s="976"/>
      <c r="T71" s="976"/>
      <c r="U71" s="976"/>
      <c r="V71" s="974"/>
      <c r="W71" s="924"/>
      <c r="X71" s="321"/>
      <c r="Y71" s="321"/>
      <c r="Z71" s="321"/>
      <c r="AA71" s="321"/>
      <c r="AB71" s="321"/>
      <c r="AC71" s="321"/>
      <c r="AD71" s="321"/>
      <c r="AE71" s="321"/>
    </row>
    <row r="72" spans="1:39" s="119" customFormat="1" ht="18.75" customHeight="1">
      <c r="A72" s="47"/>
      <c r="B72" s="107"/>
      <c r="C72" s="836" t="s">
        <v>368</v>
      </c>
      <c r="D72" s="1221"/>
      <c r="E72" s="597"/>
      <c r="F72" s="594"/>
      <c r="G72" s="548"/>
      <c r="H72" s="836" t="s">
        <v>377</v>
      </c>
      <c r="I72" s="584"/>
      <c r="J72" s="532"/>
      <c r="K72" s="921"/>
      <c r="L72" s="922"/>
      <c r="M72" s="922"/>
      <c r="N72" s="981"/>
      <c r="O72" s="976"/>
      <c r="P72" s="976"/>
      <c r="Q72" s="976"/>
      <c r="R72" s="976"/>
      <c r="S72" s="976"/>
      <c r="T72" s="976"/>
      <c r="U72" s="976"/>
      <c r="V72" s="974"/>
      <c r="W72" s="924"/>
      <c r="X72" s="321"/>
      <c r="Y72" s="321"/>
      <c r="Z72" s="321"/>
      <c r="AA72" s="321"/>
      <c r="AB72" s="321"/>
      <c r="AC72" s="321"/>
      <c r="AD72" s="321"/>
      <c r="AE72" s="321"/>
    </row>
    <row r="73" spans="1:39" s="119" customFormat="1" ht="18.75" customHeight="1">
      <c r="A73" s="47"/>
      <c r="B73" s="108"/>
      <c r="C73" s="836" t="s">
        <v>369</v>
      </c>
      <c r="D73" s="1221"/>
      <c r="E73" s="597"/>
      <c r="F73" s="594"/>
      <c r="G73" s="549"/>
      <c r="H73" s="836" t="s">
        <v>378</v>
      </c>
      <c r="I73" s="584"/>
      <c r="J73" s="532"/>
      <c r="K73" s="921"/>
      <c r="L73" s="922"/>
      <c r="M73" s="922"/>
      <c r="N73" s="994"/>
      <c r="O73" s="976"/>
      <c r="P73" s="976"/>
      <c r="Q73" s="976"/>
      <c r="R73" s="976"/>
      <c r="S73" s="976"/>
      <c r="T73" s="976"/>
      <c r="U73" s="976"/>
      <c r="V73" s="974"/>
      <c r="W73" s="924"/>
      <c r="X73" s="321"/>
      <c r="Y73" s="321"/>
      <c r="Z73" s="321"/>
      <c r="AA73" s="321"/>
      <c r="AB73" s="321"/>
      <c r="AC73" s="321"/>
      <c r="AD73" s="321"/>
      <c r="AE73" s="321"/>
    </row>
    <row r="74" spans="1:39" s="119" customFormat="1" ht="18.75" customHeight="1">
      <c r="A74" s="47"/>
      <c r="B74" s="109" t="s">
        <v>61</v>
      </c>
      <c r="C74" s="836" t="s">
        <v>370</v>
      </c>
      <c r="D74" s="1221"/>
      <c r="E74" s="597"/>
      <c r="F74" s="594"/>
      <c r="G74" s="550" t="s">
        <v>61</v>
      </c>
      <c r="H74" s="836" t="s">
        <v>379</v>
      </c>
      <c r="I74" s="584"/>
      <c r="J74" s="532"/>
      <c r="K74" s="921"/>
      <c r="L74" s="922"/>
      <c r="M74" s="922"/>
      <c r="N74" s="981"/>
      <c r="O74" s="976"/>
      <c r="P74" s="976"/>
      <c r="Q74" s="976"/>
      <c r="R74" s="976"/>
      <c r="S74" s="976"/>
      <c r="T74" s="976"/>
      <c r="U74" s="976"/>
      <c r="V74" s="974"/>
      <c r="W74" s="924"/>
      <c r="X74" s="321"/>
      <c r="Y74" s="321"/>
      <c r="Z74" s="321"/>
      <c r="AA74" s="321"/>
      <c r="AB74" s="321"/>
      <c r="AC74" s="321"/>
      <c r="AD74" s="321"/>
      <c r="AE74" s="321"/>
    </row>
    <row r="75" spans="1:39" s="119" customFormat="1" ht="18.75" customHeight="1">
      <c r="A75" s="47"/>
      <c r="B75" s="110"/>
      <c r="C75" s="836" t="s">
        <v>371</v>
      </c>
      <c r="D75" s="1221"/>
      <c r="E75" s="597"/>
      <c r="F75" s="594"/>
      <c r="G75" s="551"/>
      <c r="H75" s="836" t="s">
        <v>380</v>
      </c>
      <c r="I75" s="584"/>
      <c r="J75" s="532"/>
      <c r="K75" s="921"/>
      <c r="L75" s="922"/>
      <c r="M75" s="922"/>
      <c r="N75" s="955"/>
      <c r="O75" s="947"/>
      <c r="P75" s="947"/>
      <c r="Q75" s="947"/>
      <c r="R75" s="947"/>
      <c r="S75" s="947"/>
      <c r="T75" s="947"/>
      <c r="U75" s="947"/>
      <c r="V75" s="948"/>
      <c r="W75" s="924"/>
      <c r="X75" s="321"/>
      <c r="Y75" s="321"/>
      <c r="Z75" s="321"/>
      <c r="AA75" s="321"/>
      <c r="AB75" s="321"/>
      <c r="AC75" s="321"/>
      <c r="AD75" s="321"/>
      <c r="AE75" s="321"/>
    </row>
    <row r="76" spans="1:39" s="119" customFormat="1" ht="18.75" customHeight="1">
      <c r="A76" s="47"/>
      <c r="B76" s="110"/>
      <c r="C76" s="836" t="s">
        <v>372</v>
      </c>
      <c r="D76" s="1221"/>
      <c r="E76" s="597"/>
      <c r="F76" s="594"/>
      <c r="G76" s="551"/>
      <c r="H76" s="836" t="s">
        <v>381</v>
      </c>
      <c r="I76" s="584"/>
      <c r="J76" s="532"/>
      <c r="K76" s="921"/>
      <c r="L76" s="922"/>
      <c r="M76" s="922"/>
      <c r="N76" s="955"/>
      <c r="O76" s="947"/>
      <c r="P76" s="947"/>
      <c r="Q76" s="947"/>
      <c r="R76" s="947"/>
      <c r="S76" s="947"/>
      <c r="T76" s="947"/>
      <c r="U76" s="947"/>
      <c r="V76" s="948"/>
      <c r="W76" s="924"/>
      <c r="X76" s="321"/>
      <c r="Y76" s="321"/>
      <c r="Z76" s="321"/>
      <c r="AA76" s="321"/>
      <c r="AB76" s="321"/>
      <c r="AC76" s="321"/>
      <c r="AD76" s="321"/>
      <c r="AE76" s="321"/>
    </row>
    <row r="77" spans="1:39" s="119" customFormat="1" ht="18.75" customHeight="1">
      <c r="A77" s="47"/>
      <c r="B77" s="111"/>
      <c r="C77" s="836" t="s">
        <v>373</v>
      </c>
      <c r="D77" s="1221"/>
      <c r="E77" s="597"/>
      <c r="F77" s="594"/>
      <c r="G77" s="552"/>
      <c r="H77" s="836" t="s">
        <v>382</v>
      </c>
      <c r="I77" s="584"/>
      <c r="J77" s="532"/>
      <c r="K77" s="921"/>
      <c r="L77" s="922"/>
      <c r="M77" s="922"/>
      <c r="N77" s="955"/>
      <c r="O77" s="947"/>
      <c r="P77" s="947"/>
      <c r="Q77" s="947"/>
      <c r="R77" s="947"/>
      <c r="S77" s="947"/>
      <c r="T77" s="947"/>
      <c r="U77" s="947"/>
      <c r="V77" s="948"/>
      <c r="W77" s="924"/>
      <c r="X77" s="321"/>
      <c r="Y77" s="321"/>
      <c r="Z77" s="321"/>
      <c r="AA77" s="321"/>
      <c r="AB77" s="321"/>
      <c r="AC77" s="321"/>
      <c r="AD77" s="321"/>
      <c r="AE77" s="321"/>
    </row>
    <row r="78" spans="1:39" s="119" customFormat="1" ht="19.5" customHeight="1">
      <c r="A78" s="47"/>
      <c r="B78" s="112"/>
      <c r="C78" s="112"/>
      <c r="D78" s="544"/>
      <c r="E78" s="544"/>
      <c r="F78" s="544"/>
      <c r="G78" s="543"/>
      <c r="H78" s="543"/>
      <c r="I78" s="553"/>
      <c r="J78" s="520"/>
      <c r="K78" s="921"/>
      <c r="L78" s="922"/>
      <c r="M78" s="922"/>
      <c r="N78" s="955"/>
      <c r="O78" s="947"/>
      <c r="P78" s="947"/>
      <c r="Q78" s="947"/>
      <c r="R78" s="947"/>
      <c r="S78" s="947"/>
      <c r="T78" s="947"/>
      <c r="U78" s="947"/>
      <c r="V78" s="948"/>
      <c r="W78" s="924"/>
      <c r="X78" s="321"/>
      <c r="Y78" s="321"/>
      <c r="Z78" s="321"/>
      <c r="AA78" s="321"/>
      <c r="AB78" s="321"/>
      <c r="AC78" s="321"/>
      <c r="AD78" s="321"/>
      <c r="AE78" s="321"/>
    </row>
    <row r="79" spans="1:39" s="119" customFormat="1" ht="14">
      <c r="A79" s="54" t="s">
        <v>64</v>
      </c>
      <c r="B79" s="63" t="s">
        <v>65</v>
      </c>
      <c r="C79" s="116" t="str">
        <f>IF(Ic=1,"= REFERENCE MODEL","= PROTOTYPE")</f>
        <v>= REFERENCE MODEL</v>
      </c>
      <c r="D79" s="48"/>
      <c r="E79" s="567"/>
      <c r="F79" s="567"/>
      <c r="G79" s="520"/>
      <c r="H79" s="520"/>
      <c r="I79" s="520"/>
      <c r="J79" s="520"/>
      <c r="K79" s="995"/>
      <c r="L79" s="936"/>
      <c r="M79" s="936"/>
      <c r="N79" s="955"/>
      <c r="O79" s="947"/>
      <c r="P79" s="947"/>
      <c r="Q79" s="947"/>
      <c r="R79" s="947"/>
      <c r="S79" s="947"/>
      <c r="T79" s="947"/>
      <c r="U79" s="947"/>
      <c r="V79" s="948"/>
      <c r="W79" s="924"/>
      <c r="X79" s="321"/>
      <c r="Y79" s="321"/>
      <c r="Z79" s="321"/>
      <c r="AA79" s="321"/>
      <c r="AB79" s="321"/>
      <c r="AC79" s="321"/>
      <c r="AD79" s="321"/>
      <c r="AE79" s="321"/>
    </row>
    <row r="80" spans="1:39" s="119" customFormat="1" ht="14">
      <c r="A80" s="68" t="s">
        <v>23</v>
      </c>
      <c r="B80" s="69" t="s">
        <v>189</v>
      </c>
      <c r="C80" s="73"/>
      <c r="D80" s="48"/>
      <c r="E80" s="567"/>
      <c r="F80" s="567"/>
      <c r="G80" s="520"/>
      <c r="H80" s="520"/>
      <c r="I80" s="520"/>
      <c r="J80" s="520"/>
      <c r="K80" s="996" t="s">
        <v>163</v>
      </c>
      <c r="L80" s="997"/>
      <c r="M80" s="997"/>
      <c r="N80" s="955"/>
      <c r="O80" s="947"/>
      <c r="P80" s="947"/>
      <c r="Q80" s="947"/>
      <c r="R80" s="947"/>
      <c r="S80" s="947"/>
      <c r="T80" s="947"/>
      <c r="U80" s="947"/>
      <c r="V80" s="948"/>
      <c r="W80" s="924"/>
      <c r="X80" s="321"/>
      <c r="Y80" s="321"/>
      <c r="Z80" s="321"/>
      <c r="AA80" s="321"/>
      <c r="AB80" s="321"/>
      <c r="AC80" s="321"/>
      <c r="AD80" s="321"/>
      <c r="AE80" s="321"/>
    </row>
    <row r="81" spans="1:44" s="119" customFormat="1" ht="18.75" customHeight="1">
      <c r="A81" s="68" t="s">
        <v>66</v>
      </c>
      <c r="B81" s="117" t="s">
        <v>194</v>
      </c>
      <c r="C81" s="73"/>
      <c r="D81" s="49"/>
      <c r="E81" s="655"/>
      <c r="F81" s="655"/>
      <c r="G81" s="677"/>
      <c r="H81" s="520"/>
      <c r="I81" s="520"/>
      <c r="J81" s="520"/>
      <c r="K81" s="1276" t="s">
        <v>268</v>
      </c>
      <c r="L81" s="1277"/>
      <c r="M81" s="1277"/>
      <c r="N81" s="998"/>
      <c r="O81" s="973"/>
      <c r="P81" s="973"/>
      <c r="Q81" s="973"/>
      <c r="R81" s="973"/>
      <c r="S81" s="973"/>
      <c r="T81" s="973"/>
      <c r="U81" s="973"/>
      <c r="V81" s="974"/>
      <c r="W81" s="924"/>
      <c r="X81" s="321"/>
      <c r="Y81" s="321"/>
      <c r="Z81" s="321"/>
      <c r="AA81" s="321"/>
      <c r="AB81" s="321"/>
      <c r="AC81" s="321"/>
      <c r="AD81" s="321"/>
      <c r="AE81" s="321"/>
    </row>
    <row r="82" spans="1:44" s="119" customFormat="1" ht="17.25" customHeight="1">
      <c r="A82" s="47"/>
      <c r="B82" s="877" t="s">
        <v>477</v>
      </c>
      <c r="C82" s="369" t="s">
        <v>37</v>
      </c>
      <c r="D82" s="1219"/>
      <c r="E82" s="625"/>
      <c r="F82" s="625"/>
      <c r="G82" s="1275"/>
      <c r="H82" s="1275"/>
      <c r="I82" s="1275"/>
      <c r="J82" s="1275"/>
      <c r="K82" s="1276"/>
      <c r="L82" s="1277"/>
      <c r="M82" s="1277"/>
      <c r="N82" s="998"/>
      <c r="O82" s="974"/>
      <c r="P82" s="974"/>
      <c r="Q82" s="974"/>
      <c r="R82" s="974"/>
      <c r="S82" s="974"/>
      <c r="T82" s="974"/>
      <c r="U82" s="974"/>
      <c r="V82" s="974"/>
      <c r="W82" s="924"/>
      <c r="X82" s="321"/>
      <c r="Y82" s="321"/>
      <c r="Z82" s="321"/>
      <c r="AA82" s="321"/>
      <c r="AB82" s="321"/>
      <c r="AC82" s="321"/>
      <c r="AD82" s="321"/>
      <c r="AE82" s="321"/>
    </row>
    <row r="83" spans="1:44" s="119" customFormat="1" ht="17.25" customHeight="1">
      <c r="A83" s="493" t="s">
        <v>68</v>
      </c>
      <c r="B83" s="69" t="str">
        <f>IF(Ic=1,"Water temperature","Site condition")</f>
        <v>Water temperature</v>
      </c>
      <c r="C83" s="176"/>
      <c r="D83" s="490"/>
      <c r="E83" s="625"/>
      <c r="F83" s="625"/>
      <c r="G83" s="520"/>
      <c r="H83" s="520"/>
      <c r="I83" s="520"/>
      <c r="J83" s="658"/>
      <c r="K83" s="999" t="s">
        <v>171</v>
      </c>
      <c r="L83" s="1000" t="s">
        <v>153</v>
      </c>
      <c r="M83" s="1001">
        <v>45</v>
      </c>
      <c r="N83" s="994"/>
      <c r="O83" s="976"/>
      <c r="P83" s="976"/>
      <c r="Q83" s="976"/>
      <c r="R83" s="976"/>
      <c r="S83" s="976"/>
      <c r="T83" s="976"/>
      <c r="U83" s="976"/>
      <c r="V83" s="974"/>
      <c r="W83" s="924"/>
      <c r="X83" s="321"/>
      <c r="Y83" s="321"/>
      <c r="Z83" s="321"/>
      <c r="AA83" s="321"/>
      <c r="AB83" s="321"/>
      <c r="AC83" s="321"/>
      <c r="AD83" s="321"/>
      <c r="AE83" s="321"/>
    </row>
    <row r="84" spans="1:44" s="119" customFormat="1" ht="15.75" customHeight="1">
      <c r="A84" s="493"/>
      <c r="B84" s="170" t="str">
        <f>IF(Ic=1," ","Water temperature")</f>
        <v xml:space="preserve"> </v>
      </c>
      <c r="C84" s="176"/>
      <c r="D84" s="490"/>
      <c r="E84" s="625"/>
      <c r="F84" s="625"/>
      <c r="G84" s="522" t="str">
        <f>IF(Ic=1," ","Acceleration of gravity")</f>
        <v xml:space="preserve"> </v>
      </c>
      <c r="H84" s="521"/>
      <c r="I84" s="521"/>
      <c r="J84" s="634"/>
      <c r="K84" s="999" t="s">
        <v>154</v>
      </c>
      <c r="L84" s="1000" t="s">
        <v>150</v>
      </c>
      <c r="M84" s="1002">
        <v>220</v>
      </c>
      <c r="N84" s="1003"/>
      <c r="O84" s="976"/>
      <c r="P84" s="976"/>
      <c r="Q84" s="976"/>
      <c r="R84" s="976"/>
      <c r="S84" s="976"/>
      <c r="T84" s="976"/>
      <c r="U84" s="976"/>
      <c r="V84" s="974"/>
      <c r="W84" s="924"/>
      <c r="X84" s="321"/>
      <c r="Y84" s="321"/>
      <c r="Z84" s="321"/>
      <c r="AA84" s="321"/>
      <c r="AB84" s="321"/>
      <c r="AC84" s="321"/>
      <c r="AD84" s="321"/>
      <c r="AE84" s="321"/>
    </row>
    <row r="85" spans="1:44" s="119" customFormat="1" ht="18.75" customHeight="1">
      <c r="A85" s="118"/>
      <c r="B85" s="175" t="s">
        <v>207</v>
      </c>
      <c r="C85" s="175" t="s">
        <v>69</v>
      </c>
      <c r="D85" s="1217">
        <v>20</v>
      </c>
      <c r="E85" s="564"/>
      <c r="F85" s="564"/>
      <c r="G85" s="879" t="s">
        <v>480</v>
      </c>
      <c r="H85" s="611" t="str">
        <f>IF(Ic=1,"-","(m/s²)")</f>
        <v>-</v>
      </c>
      <c r="I85" s="1215">
        <v>9.8025000000000002</v>
      </c>
      <c r="J85" s="635"/>
      <c r="K85" s="1004" t="s">
        <v>158</v>
      </c>
      <c r="L85" s="1005" t="s">
        <v>149</v>
      </c>
      <c r="M85" s="1006">
        <f>IF(fi&lt;&gt;0,IF(Zd&lt;&gt;0,9.7803*(1+0.0053*(SIN(fi*PI()/180))^2)-(3*0.000001)*Zd,"No data"),"No data")</f>
        <v>9.8055577950000004</v>
      </c>
      <c r="N85" s="1007"/>
      <c r="O85" s="321"/>
      <c r="P85" s="976"/>
      <c r="Q85" s="976"/>
      <c r="R85" s="976"/>
      <c r="S85" s="976"/>
      <c r="T85" s="976"/>
      <c r="U85" s="976"/>
      <c r="V85" s="974"/>
      <c r="W85" s="924"/>
      <c r="X85" s="321"/>
      <c r="Y85" s="321"/>
      <c r="Z85" s="321"/>
      <c r="AA85" s="321"/>
      <c r="AB85" s="321"/>
      <c r="AC85" s="321"/>
      <c r="AD85" s="321"/>
      <c r="AE85" s="321"/>
    </row>
    <row r="86" spans="1:44" s="119" customFormat="1" ht="31.15" customHeight="1">
      <c r="A86" s="48"/>
      <c r="B86" s="878" t="s">
        <v>478</v>
      </c>
      <c r="C86" s="369" t="s">
        <v>69</v>
      </c>
      <c r="D86" s="511">
        <v>20</v>
      </c>
      <c r="E86" s="625" t="s">
        <v>501</v>
      </c>
      <c r="F86" s="625"/>
      <c r="G86" s="512" t="str">
        <f>IF(Ic=1," ","Density of water (average of inlet and outlet of the machine)")</f>
        <v xml:space="preserve"> </v>
      </c>
      <c r="H86" s="578"/>
      <c r="I86" s="578"/>
      <c r="J86" s="581"/>
      <c r="K86" s="1008"/>
      <c r="L86" s="1009"/>
      <c r="M86" s="936"/>
      <c r="N86" s="1010"/>
      <c r="O86" s="976"/>
      <c r="P86" s="976"/>
      <c r="Q86" s="976"/>
      <c r="R86" s="976"/>
      <c r="S86" s="976"/>
      <c r="T86" s="976"/>
      <c r="U86" s="976"/>
      <c r="V86" s="974"/>
      <c r="W86" s="924"/>
      <c r="X86" s="321"/>
      <c r="Y86" s="321"/>
      <c r="Z86" s="321"/>
      <c r="AA86" s="321"/>
      <c r="AB86" s="321"/>
      <c r="AC86" s="321"/>
      <c r="AD86" s="321"/>
      <c r="AE86" s="321"/>
    </row>
    <row r="87" spans="1:44" s="119" customFormat="1" ht="18" customHeight="1">
      <c r="A87" s="118"/>
      <c r="B87" s="492" t="s">
        <v>209</v>
      </c>
      <c r="C87" s="823" t="s">
        <v>500</v>
      </c>
      <c r="D87" s="84"/>
      <c r="E87" s="564"/>
      <c r="F87" s="625"/>
      <c r="G87" s="879" t="s">
        <v>479</v>
      </c>
      <c r="H87" s="611" t="str">
        <f>IF(Ic=1,"-","(kg/m³)")</f>
        <v>-</v>
      </c>
      <c r="I87" s="584">
        <v>998</v>
      </c>
      <c r="J87" s="635"/>
      <c r="K87" s="1011" t="s">
        <v>155</v>
      </c>
      <c r="L87" s="1012"/>
      <c r="M87" s="1013"/>
      <c r="N87" s="1003"/>
      <c r="O87" s="976"/>
      <c r="P87" s="976"/>
      <c r="Q87" s="976"/>
      <c r="R87" s="976"/>
      <c r="S87" s="976"/>
      <c r="T87" s="976"/>
      <c r="U87" s="976"/>
      <c r="V87" s="974"/>
      <c r="W87" s="924"/>
      <c r="X87" s="321"/>
      <c r="Y87" s="321"/>
      <c r="Z87" s="321"/>
      <c r="AA87" s="321"/>
      <c r="AB87" s="321"/>
      <c r="AC87" s="321"/>
      <c r="AD87" s="321"/>
      <c r="AE87" s="321"/>
    </row>
    <row r="88" spans="1:44" s="119" customFormat="1" ht="16.5">
      <c r="A88" s="118"/>
      <c r="B88" s="171"/>
      <c r="C88" s="176"/>
      <c r="D88" s="84"/>
      <c r="E88" s="625"/>
      <c r="F88" s="625"/>
      <c r="G88" s="637"/>
      <c r="H88" s="638"/>
      <c r="I88" s="544"/>
      <c r="J88" s="581"/>
      <c r="K88" s="1014" t="s">
        <v>164</v>
      </c>
      <c r="L88" s="1000" t="s">
        <v>150</v>
      </c>
      <c r="M88" s="1001">
        <v>715</v>
      </c>
      <c r="N88" s="1015"/>
      <c r="O88" s="976"/>
      <c r="P88" s="976"/>
      <c r="Q88" s="976"/>
      <c r="R88" s="976"/>
      <c r="S88" s="976"/>
      <c r="T88" s="976"/>
      <c r="U88" s="976"/>
      <c r="V88" s="974"/>
      <c r="W88" s="924"/>
      <c r="Y88" s="321"/>
      <c r="Z88" s="321"/>
      <c r="AA88" s="321"/>
      <c r="AB88" s="321"/>
      <c r="AC88" s="321"/>
      <c r="AD88" s="321"/>
      <c r="AE88" s="321"/>
    </row>
    <row r="89" spans="1:44" s="119" customFormat="1" ht="16.5">
      <c r="A89" s="493" t="s">
        <v>70</v>
      </c>
      <c r="B89" s="170" t="s">
        <v>188</v>
      </c>
      <c r="C89" s="118"/>
      <c r="D89" s="118"/>
      <c r="E89" s="656"/>
      <c r="F89" s="656"/>
      <c r="G89" s="625"/>
      <c r="H89" s="625"/>
      <c r="I89" s="625"/>
      <c r="J89" s="532"/>
      <c r="K89" s="1014" t="s">
        <v>165</v>
      </c>
      <c r="L89" s="1000" t="s">
        <v>150</v>
      </c>
      <c r="M89" s="1002">
        <v>285</v>
      </c>
      <c r="N89" s="1016"/>
      <c r="O89" s="976"/>
      <c r="P89" s="976"/>
      <c r="Q89" s="976"/>
      <c r="R89" s="976"/>
      <c r="S89" s="976"/>
      <c r="T89" s="976"/>
      <c r="U89" s="976"/>
      <c r="V89" s="974"/>
      <c r="W89" s="924"/>
      <c r="X89" s="321"/>
      <c r="Y89" s="321"/>
      <c r="Z89" s="321"/>
      <c r="AA89" s="321"/>
      <c r="AB89" s="321"/>
      <c r="AC89" s="321"/>
      <c r="AD89" s="321"/>
      <c r="AE89" s="321"/>
    </row>
    <row r="90" spans="1:44" s="119" customFormat="1" ht="15" customHeight="1">
      <c r="A90" s="168"/>
      <c r="B90" s="476"/>
      <c r="C90" s="50"/>
      <c r="D90" s="50"/>
      <c r="E90" s="625"/>
      <c r="F90" s="625"/>
      <c r="G90" s="656"/>
      <c r="H90" s="625"/>
      <c r="I90" s="625"/>
      <c r="J90" s="532"/>
      <c r="K90" s="999" t="s">
        <v>156</v>
      </c>
      <c r="L90" s="1017"/>
      <c r="M90" s="1017"/>
      <c r="N90" s="1018"/>
      <c r="O90" s="976"/>
      <c r="P90" s="976"/>
      <c r="Q90" s="976"/>
      <c r="R90" s="976"/>
      <c r="S90" s="976"/>
      <c r="T90" s="976"/>
      <c r="U90" s="976"/>
      <c r="V90" s="974"/>
      <c r="W90" s="924"/>
      <c r="X90" s="1272"/>
      <c r="Y90" s="1272"/>
      <c r="Z90" s="1272"/>
      <c r="AA90" s="1272"/>
      <c r="AB90" s="1272"/>
      <c r="AC90" s="1272"/>
      <c r="AD90" s="1272"/>
      <c r="AE90" s="1272"/>
      <c r="AF90" s="1272"/>
      <c r="AG90" s="1272"/>
      <c r="AH90" s="1272"/>
      <c r="AI90" s="1272"/>
      <c r="AK90" s="1019"/>
      <c r="AL90" s="1019"/>
      <c r="AM90" s="1019"/>
    </row>
    <row r="91" spans="1:44" s="1025" customFormat="1" ht="19.5">
      <c r="A91" s="494"/>
      <c r="B91" s="174" t="s">
        <v>205</v>
      </c>
      <c r="C91" s="174" t="s">
        <v>168</v>
      </c>
      <c r="D91" s="1218" t="e">
        <f>($I$91/(DB/1000)^2/PI()*ViscB)</f>
        <v>#DIV/0!</v>
      </c>
      <c r="E91" s="678" t="str">
        <f xml:space="preserve"> IF(Ic=1,"&lt;="," ")</f>
        <v>&lt;=</v>
      </c>
      <c r="F91" s="657"/>
      <c r="G91" s="565" t="s">
        <v>206</v>
      </c>
      <c r="H91" s="565" t="s">
        <v>210</v>
      </c>
      <c r="I91" s="1216">
        <v>7000000</v>
      </c>
      <c r="J91" s="639"/>
      <c r="K91" s="1020" t="s">
        <v>490</v>
      </c>
      <c r="L91" s="1021" t="s">
        <v>151</v>
      </c>
      <c r="M91" s="1022">
        <f>ROUND(101325*(1-2.2558*10^-5*M88)^5.255,0)</f>
        <v>93027</v>
      </c>
      <c r="N91" s="1023"/>
      <c r="O91" s="992"/>
      <c r="P91" s="992"/>
      <c r="Q91" s="992"/>
      <c r="R91" s="992"/>
      <c r="S91" s="992"/>
      <c r="T91" s="992"/>
      <c r="U91" s="992"/>
      <c r="V91" s="993"/>
      <c r="W91" s="1024"/>
      <c r="X91" s="321"/>
      <c r="Y91" s="321"/>
      <c r="Z91" s="321"/>
      <c r="AA91" s="321"/>
      <c r="AB91" s="321"/>
      <c r="AC91" s="321"/>
      <c r="AD91" s="321"/>
      <c r="AE91" s="321"/>
      <c r="AF91" s="321"/>
      <c r="AG91" s="119"/>
      <c r="AH91" s="119"/>
      <c r="AI91" s="119"/>
      <c r="AJ91" s="119"/>
      <c r="AK91" s="321"/>
      <c r="AL91" s="321"/>
      <c r="AM91" s="321"/>
    </row>
    <row r="92" spans="1:44" s="119" customFormat="1" ht="22.5" customHeight="1">
      <c r="A92" s="47"/>
      <c r="B92" s="869" t="s">
        <v>481</v>
      </c>
      <c r="C92" s="369" t="s">
        <v>168</v>
      </c>
      <c r="D92" s="768">
        <v>3.5714999999999999</v>
      </c>
      <c r="E92" s="1244" t="str">
        <f>IF(Ic=1," ","=&gt;")</f>
        <v xml:space="preserve"> </v>
      </c>
      <c r="F92" s="1244"/>
      <c r="G92" s="880" t="s">
        <v>482</v>
      </c>
      <c r="H92" s="610" t="str">
        <f>IF(Ic=1,"(1/s (Hz))","(-)")</f>
        <v>(1/s (Hz))</v>
      </c>
      <c r="I92" s="586" t="str">
        <f>IF(Ic=1,"-",ReB)</f>
        <v>-</v>
      </c>
      <c r="J92" s="640"/>
      <c r="K92" s="1014" t="s">
        <v>491</v>
      </c>
      <c r="L92" s="1026" t="s">
        <v>151</v>
      </c>
      <c r="M92" s="1027">
        <f>ROUND((M88-Zd)*1000*M85,0)+M91</f>
        <v>4946778</v>
      </c>
      <c r="N92" s="1028"/>
      <c r="O92" s="976"/>
      <c r="P92" s="976"/>
      <c r="Q92" s="976"/>
      <c r="R92" s="976"/>
      <c r="S92" s="976"/>
      <c r="T92" s="976"/>
      <c r="U92" s="976"/>
      <c r="V92" s="974"/>
      <c r="W92" s="924"/>
      <c r="X92" s="1029"/>
      <c r="Y92" s="1284"/>
      <c r="Z92" s="1284"/>
      <c r="AA92" s="1284"/>
      <c r="AB92" s="1284"/>
      <c r="AC92" s="1284"/>
      <c r="AD92" s="321"/>
      <c r="AE92" s="1284"/>
      <c r="AF92" s="1284"/>
      <c r="AG92" s="1284"/>
      <c r="AH92" s="1284"/>
      <c r="AI92" s="1284"/>
      <c r="AK92" s="1029"/>
      <c r="AL92" s="1284"/>
      <c r="AM92" s="1284"/>
      <c r="AQ92" s="1030"/>
      <c r="AR92" s="1031"/>
    </row>
    <row r="93" spans="1:44" s="119" customFormat="1" ht="24" customHeight="1">
      <c r="A93" s="169" t="s">
        <v>72</v>
      </c>
      <c r="B93" s="173" t="s">
        <v>198</v>
      </c>
      <c r="C93" s="176"/>
      <c r="D93" s="490"/>
      <c r="E93" s="662"/>
      <c r="F93" s="662"/>
      <c r="G93" s="641" t="s">
        <v>209</v>
      </c>
      <c r="H93" s="824" t="s">
        <v>499</v>
      </c>
      <c r="I93" s="679"/>
      <c r="J93" s="680"/>
      <c r="K93" s="1014" t="s">
        <v>492</v>
      </c>
      <c r="L93" s="1000" t="s">
        <v>151</v>
      </c>
      <c r="M93" s="1027">
        <f>ROUND(101325*(1-2.2558*10^-5*M89)^5.255,0)</f>
        <v>97948</v>
      </c>
      <c r="N93" s="1032"/>
      <c r="O93" s="976"/>
      <c r="P93" s="976"/>
      <c r="Q93" s="976"/>
      <c r="R93" s="976"/>
      <c r="S93" s="976"/>
      <c r="T93" s="976"/>
      <c r="U93" s="976"/>
      <c r="V93" s="974"/>
      <c r="W93" s="924"/>
      <c r="X93" s="1033"/>
      <c r="Y93" s="1029"/>
      <c r="Z93" s="1029"/>
      <c r="AA93" s="1029"/>
      <c r="AB93" s="1029"/>
      <c r="AC93" s="1029"/>
      <c r="AD93" s="321"/>
      <c r="AE93" s="1029"/>
      <c r="AF93" s="1029"/>
      <c r="AG93" s="1029"/>
      <c r="AH93" s="1029"/>
      <c r="AI93" s="1034"/>
      <c r="AK93" s="1033"/>
      <c r="AL93" s="1035"/>
      <c r="AM93" s="1036"/>
    </row>
    <row r="94" spans="1:44" s="119" customFormat="1" ht="16.5" customHeight="1">
      <c r="A94" s="169"/>
      <c r="B94" s="173"/>
      <c r="C94" s="176"/>
      <c r="D94" s="477"/>
      <c r="E94" s="680"/>
      <c r="F94" s="625"/>
      <c r="G94" s="564"/>
      <c r="H94" s="681"/>
      <c r="I94" s="564"/>
      <c r="J94" s="681"/>
      <c r="K94" s="1037" t="s">
        <v>493</v>
      </c>
      <c r="L94" s="1038" t="s">
        <v>151</v>
      </c>
      <c r="M94" s="1039">
        <f>ROUND((M89-Zd)*1000*M85,0)+M93</f>
        <v>735309</v>
      </c>
      <c r="N94" s="1040"/>
      <c r="O94" s="976"/>
      <c r="P94" s="976"/>
      <c r="Q94" s="976"/>
      <c r="R94" s="976"/>
      <c r="S94" s="976"/>
      <c r="T94" s="976"/>
      <c r="U94" s="976"/>
      <c r="V94" s="974"/>
      <c r="W94" s="924"/>
      <c r="X94" s="1033"/>
      <c r="Y94" s="1041"/>
      <c r="Z94" s="1041"/>
      <c r="AA94" s="1041"/>
      <c r="AB94" s="1041"/>
      <c r="AC94" s="1041"/>
      <c r="AD94" s="321"/>
      <c r="AE94" s="1041"/>
      <c r="AF94" s="1041"/>
      <c r="AG94" s="1041"/>
      <c r="AH94" s="1041"/>
      <c r="AI94" s="1041"/>
      <c r="AK94" s="1033"/>
      <c r="AL94" s="1042"/>
      <c r="AM94" s="1042"/>
    </row>
    <row r="95" spans="1:44" s="119" customFormat="1" ht="15.75" customHeight="1">
      <c r="A95" s="169"/>
      <c r="B95" s="173"/>
      <c r="C95" s="176"/>
      <c r="D95" s="1254" t="str">
        <f>IF(Ic=1,"Reference model roughness, RaCOMref","Recommended prototype roughness range")</f>
        <v>Reference model roughness, RaCOMref</v>
      </c>
      <c r="E95" s="1257" t="str">
        <f>IF(Ic=1,"Specified, RaCOM*","specified, RaCOP")</f>
        <v>Specified, RaCOM*</v>
      </c>
      <c r="F95" s="663"/>
      <c r="G95" s="1260"/>
      <c r="H95" s="564"/>
      <c r="I95" s="625"/>
      <c r="J95" s="532"/>
      <c r="K95" s="1043" t="s">
        <v>157</v>
      </c>
      <c r="L95" s="1044"/>
      <c r="M95" s="1045"/>
      <c r="N95" s="1040"/>
      <c r="O95" s="976"/>
      <c r="P95" s="976"/>
      <c r="Q95" s="976"/>
      <c r="R95" s="976"/>
      <c r="S95" s="976"/>
      <c r="T95" s="976"/>
      <c r="U95" s="976"/>
      <c r="V95" s="974"/>
      <c r="W95" s="924"/>
      <c r="X95" s="1033"/>
      <c r="Y95" s="1041"/>
      <c r="Z95" s="1041"/>
      <c r="AA95" s="1041"/>
      <c r="AB95" s="1041"/>
      <c r="AC95" s="1041"/>
      <c r="AD95" s="972"/>
      <c r="AE95" s="1041"/>
      <c r="AF95" s="1041"/>
      <c r="AG95" s="1041"/>
      <c r="AH95" s="1041"/>
      <c r="AI95" s="1041"/>
      <c r="AJ95" s="120"/>
      <c r="AK95" s="1033"/>
      <c r="AL95" s="1042"/>
      <c r="AM95" s="1042"/>
    </row>
    <row r="96" spans="1:44" s="119" customFormat="1" ht="19.5">
      <c r="A96" s="169"/>
      <c r="B96" s="173"/>
      <c r="C96" s="176"/>
      <c r="D96" s="1255"/>
      <c r="E96" s="1258"/>
      <c r="F96" s="663"/>
      <c r="G96" s="1260"/>
      <c r="H96" s="682"/>
      <c r="I96" s="625"/>
      <c r="J96" s="532"/>
      <c r="K96" s="1046" t="s">
        <v>487</v>
      </c>
      <c r="L96" s="629" t="s">
        <v>152</v>
      </c>
      <c r="M96" s="1047">
        <f>1/(0.001*((1-0.00000000046699*M92)+0.000008*(twB-4+(0.00000021318913)*M92)^2-0.00000006*(twB-4+(0.00000021318913)*M92)^3))</f>
        <v>1000.2809292869321</v>
      </c>
      <c r="N96" s="1040"/>
      <c r="O96" s="976"/>
      <c r="P96" s="976"/>
      <c r="Q96" s="976"/>
      <c r="R96" s="976"/>
      <c r="S96" s="976"/>
      <c r="T96" s="976"/>
      <c r="U96" s="976"/>
      <c r="V96" s="974"/>
      <c r="W96" s="924"/>
      <c r="X96" s="1033"/>
      <c r="Y96" s="1041"/>
      <c r="Z96" s="1041"/>
      <c r="AA96" s="1041"/>
      <c r="AB96" s="1041"/>
      <c r="AC96" s="1041"/>
      <c r="AD96" s="321"/>
      <c r="AE96" s="1041"/>
      <c r="AF96" s="1041"/>
      <c r="AG96" s="1041"/>
      <c r="AH96" s="1041"/>
      <c r="AI96" s="1041"/>
      <c r="AK96" s="1033"/>
      <c r="AL96" s="1042"/>
      <c r="AM96" s="1042"/>
    </row>
    <row r="97" spans="1:39" s="119" customFormat="1" ht="19.5">
      <c r="A97" s="169"/>
      <c r="B97" s="173"/>
      <c r="C97" s="176"/>
      <c r="D97" s="1256"/>
      <c r="E97" s="1259"/>
      <c r="F97" s="663"/>
      <c r="G97" s="1260"/>
      <c r="H97" s="564"/>
      <c r="I97" s="625"/>
      <c r="J97" s="532"/>
      <c r="K97" s="1046" t="s">
        <v>488</v>
      </c>
      <c r="L97" s="629" t="s">
        <v>152</v>
      </c>
      <c r="M97" s="1047">
        <f>1/(0.001*((1-0.00000000046699*M94)+0.000008*(twB-4+(0.00000021318913)*M94)^2-0.00000006*(twB-4+(0.00000021318913)*M94)^3))</f>
        <v>998.5103317507884</v>
      </c>
      <c r="N97" s="1040"/>
      <c r="O97" s="976"/>
      <c r="P97" s="976"/>
      <c r="Q97" s="976"/>
      <c r="R97" s="976"/>
      <c r="S97" s="976"/>
      <c r="T97" s="976"/>
      <c r="U97" s="976"/>
      <c r="V97" s="974"/>
      <c r="W97" s="924"/>
      <c r="X97" s="1272" t="s">
        <v>270</v>
      </c>
      <c r="Y97" s="1272"/>
      <c r="Z97" s="1272"/>
      <c r="AA97" s="1272"/>
      <c r="AB97" s="1272"/>
      <c r="AC97" s="1272"/>
      <c r="AD97" s="1272"/>
      <c r="AE97" s="1272"/>
      <c r="AF97" s="1272"/>
      <c r="AG97" s="1272"/>
      <c r="AH97" s="1272"/>
      <c r="AI97" s="1272"/>
      <c r="AK97" s="1019" t="s">
        <v>269</v>
      </c>
      <c r="AL97" s="1019"/>
      <c r="AM97" s="1019"/>
    </row>
    <row r="98" spans="1:39" s="119" customFormat="1" ht="19.5">
      <c r="A98" s="168"/>
      <c r="B98" s="874" t="s">
        <v>483</v>
      </c>
      <c r="C98" s="372" t="s">
        <v>46</v>
      </c>
      <c r="D98" s="1230">
        <f>IF(Ic=1,0.8,IF(IT=4,IF(EBopt&lt;=130,CONCATENATE(AE110," - ",AL110),IF(AND(EBopt&gt;130,EBopt&lt;=300),CONCATENATE(AF110," - ",AL110),IF(AND(EBopt&gt;300,EBopt&lt;600),CONCATENATE(AG110," - ",AM110),CONCATENATE(AH110," - ",AM110)))),IF(EBopt&lt;=850,CONCATENATE(AE101," - ",AL101),IF(AND(EBopt&gt;850,EBopt&lt;=1400),CONCATENATE(AF101," - ",AL101),IF(AND(EBopt&gt;1400,EBopt&lt;=2000),CONCATENATE(AG101," - ",AL101),IF(AND(EBopt&gt;2000,EBopt&lt;=3000),CONCATENATE(AG101," - ",AM101),IF(AND(EBopt&gt;3000,EBopt&lt;=8000),CONCATENATE(AH101," - ",AM101),CONCATENATE(AI101," - ",AM101))))))))</f>
        <v>0.8</v>
      </c>
      <c r="E98" s="554">
        <v>0.8</v>
      </c>
      <c r="F98" s="589"/>
      <c r="G98" s="642"/>
      <c r="H98" s="643"/>
      <c r="I98" s="643"/>
      <c r="J98" s="643"/>
      <c r="K98" s="1048" t="s">
        <v>489</v>
      </c>
      <c r="L98" s="629" t="s">
        <v>152</v>
      </c>
      <c r="M98" s="1049">
        <f>(M97+M96)/2</f>
        <v>999.39563051886023</v>
      </c>
      <c r="N98" s="994"/>
      <c r="O98" s="976"/>
      <c r="P98" s="976"/>
      <c r="Q98" s="976"/>
      <c r="R98" s="976"/>
      <c r="S98" s="976"/>
      <c r="T98" s="976"/>
      <c r="U98" s="976"/>
      <c r="V98" s="974"/>
      <c r="W98" s="924"/>
      <c r="X98" s="321"/>
      <c r="Y98" s="321"/>
      <c r="Z98" s="321"/>
      <c r="AA98" s="321"/>
      <c r="AB98" s="321"/>
      <c r="AC98" s="321"/>
      <c r="AD98" s="321"/>
      <c r="AE98" s="321"/>
      <c r="AF98" s="321"/>
      <c r="AK98" s="321"/>
      <c r="AL98" s="321"/>
      <c r="AM98" s="321"/>
    </row>
    <row r="99" spans="1:39" s="119" customFormat="1" ht="19.5">
      <c r="A99" s="168"/>
      <c r="B99" s="874" t="s">
        <v>444</v>
      </c>
      <c r="C99" s="372" t="s">
        <v>46</v>
      </c>
      <c r="D99" s="1230">
        <f>IF(Ic=1,0.8,IF(IT=4,IF(EBopt&lt;=130,CONCATENATE(AE111," - ",AL111),IF(AND(EBopt&gt;130,EBopt&lt;=300),CONCATENATE(AF111," - ",AL111),IF(AND(EBopt&gt;300,EBopt&lt;600),CONCATENATE(AG111," - ",AM111),CONCATENATE(AH111," - ",AM111)))),IF(EBopt&lt;=850,CONCATENATE(AE102," - ",AL102),IF(AND(EBopt&gt;850,EBopt&lt;=1400),CONCATENATE(AF102," - ",AL102),IF(AND(EBopt&gt;1400,EBopt&lt;=2000),CONCATENATE(AG102," - ",AL102),IF(AND(EBopt&gt;2000,EBopt&lt;=3000),CONCATENATE(AG102," - ",AM102),IF(AND(EBopt&gt;3000,EBopt&lt;=8000),CONCATENATE(AH102," - ",AM102),CONCATENATE(AI102," - ",AM102))))))))</f>
        <v>0.8</v>
      </c>
      <c r="E99" s="554">
        <v>0.8</v>
      </c>
      <c r="F99" s="589"/>
      <c r="G99" s="642"/>
      <c r="H99" s="643"/>
      <c r="I99" s="643"/>
      <c r="J99" s="643"/>
      <c r="K99" s="1050"/>
      <c r="L99" s="1051"/>
      <c r="M99" s="1051"/>
      <c r="N99" s="1052"/>
      <c r="O99" s="976"/>
      <c r="P99" s="976"/>
      <c r="Q99" s="976"/>
      <c r="R99" s="976"/>
      <c r="S99" s="976"/>
      <c r="T99" s="976"/>
      <c r="U99" s="976"/>
      <c r="V99" s="974"/>
      <c r="W99" s="924"/>
      <c r="X99" s="1029" t="s">
        <v>172</v>
      </c>
      <c r="Y99" s="1284" t="s">
        <v>254</v>
      </c>
      <c r="Z99" s="1284"/>
      <c r="AA99" s="1284"/>
      <c r="AB99" s="1284"/>
      <c r="AC99" s="1284"/>
      <c r="AD99" s="321"/>
      <c r="AE99" s="1284" t="s">
        <v>253</v>
      </c>
      <c r="AF99" s="1284"/>
      <c r="AG99" s="1284"/>
      <c r="AH99" s="1284"/>
      <c r="AI99" s="1284"/>
      <c r="AK99" s="1029" t="s">
        <v>172</v>
      </c>
      <c r="AL99" s="1284" t="s">
        <v>253</v>
      </c>
      <c r="AM99" s="1284"/>
    </row>
    <row r="100" spans="1:39" s="119" customFormat="1" ht="18.75" customHeight="1">
      <c r="A100" s="168"/>
      <c r="B100" s="874" t="s">
        <v>445</v>
      </c>
      <c r="C100" s="372" t="s">
        <v>46</v>
      </c>
      <c r="D100" s="1230">
        <f>IF(Ic=1,0.4,IF(IT=4,IF(EBopt&lt;=130,CONCATENATE(AE112," - ",AL112),IF(AND(EBopt&gt;130,EBopt&lt;=300),CONCATENATE(AF112," - ",AL112),IF(AND(EBopt&gt;300,EBopt&lt;600),CONCATENATE(AG112," - ",AM112),CONCATENATE(AH112," - ",AM112)))),IF(EBopt&lt;=850,CONCATENATE(AE103," - ",AL103),IF(AND(EBopt&gt;850,EBopt&lt;=1400),CONCATENATE(AF103," - ",AL103),IF(AND(EBopt&gt;1400,EBopt&lt;=2000),CONCATENATE(AG103," - ",AL103),IF(AND(EBopt&gt;2000,EBopt&lt;=3000),CONCATENATE(AG103," - ",AM103),IF(AND(EBopt&gt;3000,EBopt&lt;=8000),CONCATENATE(AH103," - ",AM103),CONCATENATE(AI103," - ",AM103))))))))</f>
        <v>0.4</v>
      </c>
      <c r="E100" s="554">
        <v>0.4</v>
      </c>
      <c r="F100" s="589"/>
      <c r="G100" s="642"/>
      <c r="H100" s="564"/>
      <c r="I100" s="564"/>
      <c r="J100" s="532"/>
      <c r="K100" s="1053" t="str">
        <f>IF(Ic=1,"NOTE 8","NOTE 9")</f>
        <v>NOTE 8</v>
      </c>
      <c r="L100" s="1054"/>
      <c r="M100" s="1054"/>
      <c r="N100" s="956"/>
      <c r="O100" s="976"/>
      <c r="P100" s="976"/>
      <c r="Q100" s="976"/>
      <c r="R100" s="976"/>
      <c r="S100" s="976"/>
      <c r="T100" s="976"/>
      <c r="U100" s="976"/>
      <c r="V100" s="974"/>
      <c r="W100" s="924"/>
      <c r="X100" s="1033" t="s">
        <v>255</v>
      </c>
      <c r="Y100" s="1029">
        <v>300</v>
      </c>
      <c r="Z100" s="1029">
        <v>850</v>
      </c>
      <c r="AA100" s="1029">
        <v>1400</v>
      </c>
      <c r="AB100" s="1029">
        <v>3000</v>
      </c>
      <c r="AC100" s="1029">
        <v>8000</v>
      </c>
      <c r="AD100" s="321"/>
      <c r="AE100" s="1029" t="s">
        <v>174</v>
      </c>
      <c r="AF100" s="1029" t="s">
        <v>175</v>
      </c>
      <c r="AG100" s="1029" t="s">
        <v>176</v>
      </c>
      <c r="AH100" s="1029" t="s">
        <v>177</v>
      </c>
      <c r="AI100" s="1055" t="s">
        <v>185</v>
      </c>
      <c r="AK100" s="1033" t="s">
        <v>252</v>
      </c>
      <c r="AL100" s="1035" t="s">
        <v>184</v>
      </c>
      <c r="AM100" s="1036" t="s">
        <v>178</v>
      </c>
    </row>
    <row r="101" spans="1:39" s="119" customFormat="1" ht="39.75" customHeight="1">
      <c r="A101" s="168"/>
      <c r="B101" s="881" t="s">
        <v>446</v>
      </c>
      <c r="C101" s="372" t="s">
        <v>46</v>
      </c>
      <c r="D101" s="491">
        <f>IF(Ic=1,0.4,IF(IT=4,IF(EBopt&lt;=130,CONCATENATE(AE113," - ",AL113),IF(AND(EBopt&gt;130,EBopt&lt;=300),CONCATENATE(AF113," - ",AL113),IF(AND(EBopt&gt;300,EBopt&lt;600),CONCATENATE(AG113," - ",AM113),CONCATENATE(AH113," - ",AM113)))),IF(EBopt&lt;=850,CONCATENATE(AE104," - ",AL104),IF(AND(EBopt&gt;850,EBopt&lt;=1400),CONCATENATE(AF104," - ",AL104),IF(AND(EBopt&gt;1400,EBopt&lt;=2000),CONCATENATE(AG104," - ",AL104),IF(AND(EBopt&gt;2000,EBopt&lt;=3000),CONCATENATE(AG104," - ",AM104),IF(AND(EBopt&gt;3000,EBopt&lt;=8000),CONCATENATE(AH104," - ",AM104),CONCATENATE(AI104," - ",AM104))))))))</f>
        <v>0.4</v>
      </c>
      <c r="E101" s="554">
        <v>0.4</v>
      </c>
      <c r="F101" s="589"/>
      <c r="G101" s="683" t="s">
        <v>204</v>
      </c>
      <c r="H101" s="625"/>
      <c r="I101" s="564"/>
      <c r="J101" s="625"/>
      <c r="K101" s="1261" t="s">
        <v>203</v>
      </c>
      <c r="L101" s="1262"/>
      <c r="M101" s="1054"/>
      <c r="N101" s="1056"/>
      <c r="O101" s="976"/>
      <c r="P101" s="976"/>
      <c r="Q101" s="976"/>
      <c r="R101" s="976"/>
      <c r="S101" s="976"/>
      <c r="T101" s="976"/>
      <c r="U101" s="976"/>
      <c r="V101" s="974"/>
      <c r="W101" s="924"/>
      <c r="X101" s="1033" t="s">
        <v>256</v>
      </c>
      <c r="Y101" s="1041">
        <v>5</v>
      </c>
      <c r="Z101" s="1041">
        <v>3.2</v>
      </c>
      <c r="AA101" s="1041">
        <v>3.2</v>
      </c>
      <c r="AB101" s="1041">
        <v>3.2</v>
      </c>
      <c r="AC101" s="1041">
        <v>3.2</v>
      </c>
      <c r="AD101" s="321"/>
      <c r="AE101" s="1057" t="e">
        <f>IF(EBopt &lt;= 850,ROUND(SLOPE(Y101:AC101,Y$100:AC$100)*EBopt+INTERCEPT(Y101:AC101,Y$100:AC$100),1)," ")</f>
        <v>#DIV/0!</v>
      </c>
      <c r="AF101" s="1057" t="e">
        <f t="shared" ref="AF101:AF107" si="0">IF(AND(EBopt &gt; 850, EBopt &lt;= 1400),ROUND(SLOPE(Y101:AC101,Y$100:AC$100)*EBopt+INTERCEPT(Y101:AC101,Y$100:AC$100),1)," ")</f>
        <v>#DIV/0!</v>
      </c>
      <c r="AG101" s="1057" t="e">
        <f t="shared" ref="AG101:AG107" si="1">IF(AND(EBopt &gt; 1400, EBopt &lt;= 3000),ROUND(SLOPE(Y101:AC101,Y$100:AC$100)*EBopt+INTERCEPT(Y101:AC101,Y$100:AC$100),1)," ")</f>
        <v>#DIV/0!</v>
      </c>
      <c r="AH101" s="1057" t="e">
        <f t="shared" ref="AH101:AH107" si="2">IF(AND(EBopt &gt; 3000, EBopt &lt; 8000),ROUND(SLOPE(Y101:AC101,Y$100:AC$100)*EBopt+INTERCEPT(Y101:AC101,Y$100:AC$100),1)," ")</f>
        <v>#DIV/0!</v>
      </c>
      <c r="AI101" s="1057" t="e">
        <f t="shared" ref="AI101:AI107" si="3">IF(EBopt &gt;= 8000,AC101," ")</f>
        <v>#DIV/0!</v>
      </c>
      <c r="AK101" s="1033" t="s">
        <v>256</v>
      </c>
      <c r="AL101" s="1058" t="e">
        <f>IF(EBopt&lt;=2000,25," ")</f>
        <v>#DIV/0!</v>
      </c>
      <c r="AM101" s="1058" t="e">
        <f>IF(EBopt&gt;2000,12.5," ")</f>
        <v>#DIV/0!</v>
      </c>
    </row>
    <row r="102" spans="1:39" s="120" customFormat="1" ht="16.5" customHeight="1">
      <c r="A102" s="168"/>
      <c r="B102" s="874" t="s">
        <v>484</v>
      </c>
      <c r="C102" s="372" t="s">
        <v>46</v>
      </c>
      <c r="D102" s="1230">
        <f>IF(Ic=1,0.8,IF(IT=4,IF(EBopt&lt;=130,CONCATENATE(AE114," - ",AL114),IF(AND(EBopt&gt;130,EBopt&lt;=300),CONCATENATE(AF114," - ",AL114),IF(AND(EBopt&gt;300,EBopt&lt;600),CONCATENATE(AG114," - ",AM114),CONCATENATE(AH114," - ",AM114)))),IF(EBopt&lt;=850,CONCATENATE(AE105," - ",AL105),IF(AND(EBopt&gt;850,EBopt&lt;=1400),CONCATENATE(AF105," - ",AL105),IF(AND(EBopt&gt;1400,EBopt&lt;=2000),CONCATENATE(AG105," - ",AL105),IF(AND(EBopt&gt;2000,EBopt&lt;=3000),CONCATENATE(AG105," - ",AM105),IF(AND(EBopt&gt;3000,EBopt&lt;=8000),CONCATENATE(AH105," - ",AM105),CONCATENATE(AI105," - ",AM105))))))))</f>
        <v>0.8</v>
      </c>
      <c r="E102" s="554">
        <v>0.8</v>
      </c>
      <c r="F102" s="589"/>
      <c r="G102" s="642"/>
      <c r="H102" s="625"/>
      <c r="I102" s="684"/>
      <c r="J102" s="625"/>
      <c r="K102" s="1261"/>
      <c r="L102" s="1262"/>
      <c r="M102" s="1054"/>
      <c r="N102" s="1056"/>
      <c r="O102" s="1059"/>
      <c r="P102" s="947"/>
      <c r="Q102" s="947"/>
      <c r="R102" s="947"/>
      <c r="S102" s="947"/>
      <c r="T102" s="947"/>
      <c r="U102" s="947"/>
      <c r="V102" s="948"/>
      <c r="W102" s="971"/>
      <c r="X102" s="1033" t="s">
        <v>257</v>
      </c>
      <c r="Y102" s="1041">
        <v>5</v>
      </c>
      <c r="Z102" s="1041">
        <v>3.2</v>
      </c>
      <c r="AA102" s="1041">
        <v>1.6</v>
      </c>
      <c r="AB102" s="1041">
        <v>1.6</v>
      </c>
      <c r="AC102" s="1041">
        <v>1.6</v>
      </c>
      <c r="AD102" s="972"/>
      <c r="AE102" s="1057" t="e">
        <f t="shared" ref="AE102:AE107" si="4">IF(EBopt &lt;= 850,ROUND(SLOPE(Y102:AC102,Y$100:AC$100)*EBopt+INTERCEPT(Y102:AC102,Y$100:AC$100),1)," ")</f>
        <v>#DIV/0!</v>
      </c>
      <c r="AF102" s="1057" t="e">
        <f t="shared" si="0"/>
        <v>#DIV/0!</v>
      </c>
      <c r="AG102" s="1057" t="e">
        <f t="shared" si="1"/>
        <v>#DIV/0!</v>
      </c>
      <c r="AH102" s="1057" t="e">
        <f t="shared" si="2"/>
        <v>#DIV/0!</v>
      </c>
      <c r="AI102" s="1057" t="e">
        <f t="shared" si="3"/>
        <v>#DIV/0!</v>
      </c>
      <c r="AK102" s="1033" t="s">
        <v>257</v>
      </c>
      <c r="AL102" s="1058" t="e">
        <f>IF(EBopt&lt;=2000,25," ")</f>
        <v>#DIV/0!</v>
      </c>
      <c r="AM102" s="1058" t="e">
        <f>IF(EBopt&gt;2000,12.5," ")</f>
        <v>#DIV/0!</v>
      </c>
    </row>
    <row r="103" spans="1:39" s="119" customFormat="1" ht="18.75" customHeight="1">
      <c r="A103" s="484"/>
      <c r="B103" s="882" t="s">
        <v>485</v>
      </c>
      <c r="C103" s="372" t="s">
        <v>46</v>
      </c>
      <c r="D103" s="1230">
        <f>IF(Ic=1,0.8,IF(IT=4,IF(EBopt&lt;=130,CONCATENATE(AE115," - ",AL115),IF(AND(EBopt&gt;130,EBopt&lt;=300),CONCATENATE(AF115," - ",AL115),IF(AND(EBopt&gt;300,EBopt&lt;600),CONCATENATE(AG115," - ",AM115),CONCATENATE(AH115," - ",AM115)))),IF(EBopt&lt;=850,CONCATENATE(AE106," - ",AL106),IF(AND(EBopt&gt;850,EBopt&lt;=1400),CONCATENATE(AF106," - ",AL106),IF(AND(EBopt&gt;1400,EBopt&lt;=2000),CONCATENATE(AG106," - ",AL106),IF(AND(EBopt&gt;2000,EBopt&lt;=3000),CONCATENATE(AG106," - ",AM106),IF(AND(EBopt&gt;3000,EBopt&lt;=8000),CONCATENATE(AH106," - ",AM106),CONCATENATE(AI106," - ",AM106))))))))</f>
        <v>0.8</v>
      </c>
      <c r="E103" s="554">
        <v>0.8</v>
      </c>
      <c r="F103" s="590"/>
      <c r="G103" s="685" t="s">
        <v>73</v>
      </c>
      <c r="H103" s="577"/>
      <c r="I103" s="567"/>
      <c r="J103" s="532"/>
      <c r="K103" s="1261"/>
      <c r="L103" s="1262"/>
      <c r="M103" s="1054"/>
      <c r="N103" s="1056"/>
      <c r="O103" s="973"/>
      <c r="P103" s="973"/>
      <c r="Q103" s="973"/>
      <c r="R103" s="973"/>
      <c r="S103" s="973"/>
      <c r="T103" s="973"/>
      <c r="U103" s="973"/>
      <c r="V103" s="974"/>
      <c r="W103" s="924"/>
      <c r="X103" s="1033" t="s">
        <v>258</v>
      </c>
      <c r="Y103" s="1041">
        <v>1.8</v>
      </c>
      <c r="Z103" s="1041">
        <v>1.4</v>
      </c>
      <c r="AA103" s="1041">
        <v>1</v>
      </c>
      <c r="AB103" s="1041">
        <v>0.8</v>
      </c>
      <c r="AC103" s="1041">
        <v>0.8</v>
      </c>
      <c r="AD103" s="321"/>
      <c r="AE103" s="1057" t="e">
        <f t="shared" si="4"/>
        <v>#DIV/0!</v>
      </c>
      <c r="AF103" s="1057" t="e">
        <f t="shared" si="0"/>
        <v>#DIV/0!</v>
      </c>
      <c r="AG103" s="1057" t="e">
        <f t="shared" si="1"/>
        <v>#DIV/0!</v>
      </c>
      <c r="AH103" s="1057" t="e">
        <f t="shared" si="2"/>
        <v>#DIV/0!</v>
      </c>
      <c r="AI103" s="1057" t="e">
        <f t="shared" si="3"/>
        <v>#DIV/0!</v>
      </c>
      <c r="AK103" s="1033" t="s">
        <v>258</v>
      </c>
      <c r="AL103" s="1058" t="e">
        <f>IF(EBopt&lt;=2000,12.5," ")</f>
        <v>#DIV/0!</v>
      </c>
      <c r="AM103" s="1058" t="e">
        <f>IF(EBopt&gt;2000,6.3," ")</f>
        <v>#DIV/0!</v>
      </c>
    </row>
    <row r="104" spans="1:39" s="119" customFormat="1" ht="18.649999999999999" customHeight="1">
      <c r="A104" s="484"/>
      <c r="B104" s="882" t="s">
        <v>486</v>
      </c>
      <c r="C104" s="372" t="s">
        <v>46</v>
      </c>
      <c r="D104" s="1230">
        <f>IF(Ic=1,0.8,IF(IT=4,IF(EBopt&lt;=130,CONCATENATE(AE116," - ",AL116),IF(AND(EBopt&gt;130,EBopt&lt;=300),CONCATENATE(AF116," - ",AL116),IF(AND(EBopt&gt;300,EBopt&lt;600),CONCATENATE(AG116," - ",AM116),CONCATENATE(AH116," - ",AM116)))),IF(EBopt&lt;=850,CONCATENATE(AE107," - ",AL107),IF(AND(EBopt&gt;850,EBopt&lt;=1400),CONCATENATE(AF107," - ",AL107),IF(AND(EBopt&gt;1400,EBopt&lt;=2000),CONCATENATE(AG107," - ",AL107),IF(AND(EBopt&gt;2000,EBopt&lt;=3000),CONCATENATE(AG107," - ",AM107),IF(AND(EBopt&gt;3000,EBopt&lt;=8000),CONCATENATE(AH107," - ",AM107),CONCATENATE(AI107," - ",AM107))))))))</f>
        <v>0.8</v>
      </c>
      <c r="E104" s="554">
        <v>0.8</v>
      </c>
      <c r="F104" s="590"/>
      <c r="G104" s="685" t="s">
        <v>74</v>
      </c>
      <c r="H104" s="577"/>
      <c r="I104" s="567"/>
      <c r="J104" s="532"/>
      <c r="K104" s="1261"/>
      <c r="L104" s="1262"/>
      <c r="M104" s="1054"/>
      <c r="N104" s="1056"/>
      <c r="O104" s="973"/>
      <c r="P104" s="973"/>
      <c r="Q104" s="973"/>
      <c r="R104" s="973"/>
      <c r="S104" s="973"/>
      <c r="T104" s="973"/>
      <c r="U104" s="973"/>
      <c r="V104" s="974"/>
      <c r="W104" s="924"/>
      <c r="X104" s="1033" t="s">
        <v>259</v>
      </c>
      <c r="Y104" s="1041">
        <v>1.8</v>
      </c>
      <c r="Z104" s="1041">
        <v>1.4</v>
      </c>
      <c r="AA104" s="1041">
        <v>1</v>
      </c>
      <c r="AB104" s="1041">
        <v>0.8</v>
      </c>
      <c r="AC104" s="1041">
        <v>0.8</v>
      </c>
      <c r="AD104" s="321"/>
      <c r="AE104" s="1057" t="e">
        <f t="shared" si="4"/>
        <v>#DIV/0!</v>
      </c>
      <c r="AF104" s="1057" t="e">
        <f t="shared" si="0"/>
        <v>#DIV/0!</v>
      </c>
      <c r="AG104" s="1057" t="e">
        <f t="shared" si="1"/>
        <v>#DIV/0!</v>
      </c>
      <c r="AH104" s="1057" t="e">
        <f t="shared" si="2"/>
        <v>#DIV/0!</v>
      </c>
      <c r="AI104" s="1057" t="e">
        <f>IF(EBopt &gt;= 8000,AC104," ")</f>
        <v>#DIV/0!</v>
      </c>
      <c r="AK104" s="1033" t="s">
        <v>259</v>
      </c>
      <c r="AL104" s="1030" t="e">
        <f>IF(EBopt&lt;=2000,"≤ 3,2 for region A on suction side and ≤ 6,3 for other regions"," ")</f>
        <v>#DIV/0!</v>
      </c>
      <c r="AM104" s="1031" t="e">
        <f>IF(EBopt&gt;2000,"≤ 3,2 for all regions "," ")</f>
        <v>#DIV/0!</v>
      </c>
    </row>
    <row r="105" spans="1:39" s="119" customFormat="1" ht="25.5" customHeight="1">
      <c r="A105" s="484"/>
      <c r="B105" s="485"/>
      <c r="C105" s="171"/>
      <c r="D105" s="486"/>
      <c r="E105" s="650"/>
      <c r="F105" s="650"/>
      <c r="G105" s="530"/>
      <c r="H105" s="577"/>
      <c r="I105" s="577"/>
      <c r="J105" s="627"/>
      <c r="K105" s="1261"/>
      <c r="L105" s="1262"/>
      <c r="M105" s="936"/>
      <c r="N105" s="981"/>
      <c r="O105" s="973"/>
      <c r="P105" s="973"/>
      <c r="Q105" s="973"/>
      <c r="R105" s="973"/>
      <c r="S105" s="973"/>
      <c r="T105" s="973"/>
      <c r="U105" s="973"/>
      <c r="V105" s="974"/>
      <c r="W105" s="924"/>
      <c r="X105" s="1033" t="s">
        <v>260</v>
      </c>
      <c r="Y105" s="1041">
        <v>5</v>
      </c>
      <c r="Z105" s="1041">
        <v>3.2</v>
      </c>
      <c r="AA105" s="1041">
        <v>3.2</v>
      </c>
      <c r="AB105" s="1041">
        <v>3.2</v>
      </c>
      <c r="AC105" s="1041">
        <v>3.2</v>
      </c>
      <c r="AD105" s="321"/>
      <c r="AE105" s="1057" t="e">
        <f t="shared" si="4"/>
        <v>#DIV/0!</v>
      </c>
      <c r="AF105" s="1057" t="e">
        <f t="shared" si="0"/>
        <v>#DIV/0!</v>
      </c>
      <c r="AG105" s="1057" t="e">
        <f t="shared" si="1"/>
        <v>#DIV/0!</v>
      </c>
      <c r="AH105" s="1057" t="e">
        <f t="shared" si="2"/>
        <v>#DIV/0!</v>
      </c>
      <c r="AI105" s="1057" t="e">
        <f t="shared" si="3"/>
        <v>#DIV/0!</v>
      </c>
      <c r="AK105" s="1033" t="s">
        <v>260</v>
      </c>
      <c r="AL105" s="1058" t="e">
        <f>IF(EBopt&lt;=2000,25," ")</f>
        <v>#DIV/0!</v>
      </c>
      <c r="AM105" s="1058" t="e">
        <f>IF(EBopt&gt;2000,12.5," ")</f>
        <v>#DIV/0!</v>
      </c>
    </row>
    <row r="106" spans="1:39" s="119" customFormat="1" ht="18.649999999999999" customHeight="1">
      <c r="A106" s="487" t="s">
        <v>75</v>
      </c>
      <c r="B106" s="272" t="s">
        <v>199</v>
      </c>
      <c r="C106" s="127"/>
      <c r="D106" s="127"/>
      <c r="E106" s="770" t="str">
        <f>IF(Ic=1,"No need to fill the following data",IF(Homol_seal="N","Please, fill hereunder, the required data for prototype runner seal geometry","No need to fill the following data"))</f>
        <v>No need to fill the following data</v>
      </c>
      <c r="F106" s="771"/>
      <c r="G106" s="771"/>
      <c r="H106" s="771"/>
      <c r="I106" s="771"/>
      <c r="J106" s="772"/>
      <c r="K106" s="1053" t="str">
        <f>IF(Ic=1,"NOTE 9","NOTE 10")</f>
        <v>NOTE 9</v>
      </c>
      <c r="L106" s="957"/>
      <c r="M106" s="957"/>
      <c r="N106" s="981"/>
      <c r="O106" s="974"/>
      <c r="P106" s="974"/>
      <c r="Q106" s="974"/>
      <c r="R106" s="974"/>
      <c r="S106" s="974"/>
      <c r="T106" s="974"/>
      <c r="U106" s="974"/>
      <c r="V106" s="974"/>
      <c r="W106" s="924"/>
      <c r="X106" s="1033" t="s">
        <v>261</v>
      </c>
      <c r="Y106" s="1041">
        <v>5</v>
      </c>
      <c r="Z106" s="1041">
        <v>3.2</v>
      </c>
      <c r="AA106" s="1041">
        <v>1.6</v>
      </c>
      <c r="AB106" s="1041">
        <v>1.6</v>
      </c>
      <c r="AC106" s="1041">
        <v>1.6</v>
      </c>
      <c r="AD106" s="972"/>
      <c r="AE106" s="1057" t="e">
        <f t="shared" si="4"/>
        <v>#DIV/0!</v>
      </c>
      <c r="AF106" s="1057" t="e">
        <f t="shared" si="0"/>
        <v>#DIV/0!</v>
      </c>
      <c r="AG106" s="1057" t="e">
        <f t="shared" si="1"/>
        <v>#DIV/0!</v>
      </c>
      <c r="AH106" s="1057" t="e">
        <f t="shared" si="2"/>
        <v>#DIV/0!</v>
      </c>
      <c r="AI106" s="1057" t="e">
        <f t="shared" si="3"/>
        <v>#DIV/0!</v>
      </c>
      <c r="AJ106" s="120"/>
      <c r="AK106" s="1033" t="s">
        <v>261</v>
      </c>
      <c r="AL106" s="1058" t="e">
        <f>IF(EBopt&lt;=2000,25," ")</f>
        <v>#DIV/0!</v>
      </c>
      <c r="AM106" s="1058" t="e">
        <f>IF(EBopt&gt;2000,12.5," ")</f>
        <v>#DIV/0!</v>
      </c>
    </row>
    <row r="107" spans="1:39" s="119" customFormat="1" ht="25.5" customHeight="1">
      <c r="A107" s="488" t="s">
        <v>76</v>
      </c>
      <c r="B107" s="489" t="s">
        <v>51</v>
      </c>
      <c r="C107" s="489"/>
      <c r="D107" s="773" t="str">
        <f>IF(Ic=1,"The seal geometry of reference model is considered in homology with the seal geometry of  model"," ")</f>
        <v>The seal geometry of reference model is considered in homology with the seal geometry of  model</v>
      </c>
      <c r="E107" s="52"/>
      <c r="F107" s="651"/>
      <c r="G107" s="651"/>
      <c r="H107" s="651"/>
      <c r="I107" s="544"/>
      <c r="J107" s="630"/>
      <c r="K107" s="1247" t="s">
        <v>202</v>
      </c>
      <c r="L107" s="1253"/>
      <c r="M107" s="1253"/>
      <c r="N107" s="956"/>
      <c r="O107" s="976"/>
      <c r="P107" s="976"/>
      <c r="Q107" s="976"/>
      <c r="R107" s="976"/>
      <c r="S107" s="976"/>
      <c r="T107" s="976"/>
      <c r="U107" s="976"/>
      <c r="V107" s="974"/>
      <c r="W107" s="924"/>
      <c r="X107" s="1033" t="s">
        <v>262</v>
      </c>
      <c r="Y107" s="1041">
        <v>5</v>
      </c>
      <c r="Z107" s="1041">
        <v>3.2</v>
      </c>
      <c r="AA107" s="1041">
        <v>1.6</v>
      </c>
      <c r="AB107" s="1041">
        <v>1.6</v>
      </c>
      <c r="AC107" s="1041">
        <v>1.6</v>
      </c>
      <c r="AD107" s="972"/>
      <c r="AE107" s="1057" t="e">
        <f t="shared" si="4"/>
        <v>#DIV/0!</v>
      </c>
      <c r="AF107" s="1057" t="e">
        <f t="shared" si="0"/>
        <v>#DIV/0!</v>
      </c>
      <c r="AG107" s="1057" t="e">
        <f t="shared" si="1"/>
        <v>#DIV/0!</v>
      </c>
      <c r="AH107" s="1057" t="e">
        <f t="shared" si="2"/>
        <v>#DIV/0!</v>
      </c>
      <c r="AI107" s="1057" t="e">
        <f t="shared" si="3"/>
        <v>#DIV/0!</v>
      </c>
      <c r="AJ107" s="120"/>
      <c r="AK107" s="1033" t="s">
        <v>262</v>
      </c>
      <c r="AL107" s="1058" t="e">
        <f>IF(EBopt&lt;=2000,25," ")</f>
        <v>#DIV/0!</v>
      </c>
      <c r="AM107" s="1058" t="e">
        <f>IF(EBopt&gt;2000,12.5," ")</f>
        <v>#DIV/0!</v>
      </c>
    </row>
    <row r="108" spans="1:39" s="982" customFormat="1" ht="18.649999999999999" customHeight="1">
      <c r="A108" s="172"/>
      <c r="B108" s="478" t="s">
        <v>212</v>
      </c>
      <c r="C108" s="479" t="s">
        <v>52</v>
      </c>
      <c r="D108" s="480"/>
      <c r="E108" s="652"/>
      <c r="F108" s="651"/>
      <c r="G108" s="644" t="s">
        <v>213</v>
      </c>
      <c r="H108" s="757" t="s">
        <v>53</v>
      </c>
      <c r="I108" s="645"/>
      <c r="J108" s="686"/>
      <c r="K108" s="967"/>
      <c r="L108" s="957"/>
      <c r="M108" s="957"/>
      <c r="N108" s="956"/>
      <c r="O108" s="976"/>
      <c r="P108" s="976"/>
      <c r="Q108" s="976"/>
      <c r="R108" s="976"/>
      <c r="S108" s="976"/>
      <c r="T108" s="976"/>
      <c r="U108" s="976"/>
      <c r="V108" s="974"/>
      <c r="W108" s="983"/>
      <c r="X108" s="1029" t="s">
        <v>179</v>
      </c>
      <c r="Y108" s="1284" t="s">
        <v>254</v>
      </c>
      <c r="Z108" s="1284"/>
      <c r="AA108" s="1284"/>
      <c r="AB108" s="1284"/>
      <c r="AC108" s="1284"/>
      <c r="AD108" s="808"/>
      <c r="AE108" s="1284" t="s">
        <v>253</v>
      </c>
      <c r="AF108" s="1284"/>
      <c r="AG108" s="1284"/>
      <c r="AH108" s="1284"/>
      <c r="AI108" s="1284"/>
      <c r="AK108" s="1029" t="s">
        <v>179</v>
      </c>
      <c r="AL108" s="1284" t="s">
        <v>253</v>
      </c>
      <c r="AM108" s="1284"/>
    </row>
    <row r="109" spans="1:39" s="979" customFormat="1" ht="14.5">
      <c r="A109" s="484"/>
      <c r="B109" s="481" t="s">
        <v>57</v>
      </c>
      <c r="C109" s="482" t="s">
        <v>55</v>
      </c>
      <c r="D109" s="483" t="s">
        <v>56</v>
      </c>
      <c r="E109" s="653" t="s">
        <v>211</v>
      </c>
      <c r="F109" s="654"/>
      <c r="G109" s="646" t="s">
        <v>57</v>
      </c>
      <c r="H109" s="647" t="s">
        <v>55</v>
      </c>
      <c r="I109" s="648" t="s">
        <v>56</v>
      </c>
      <c r="J109" s="649" t="s">
        <v>211</v>
      </c>
      <c r="K109" s="631"/>
      <c r="L109" s="1060"/>
      <c r="M109" s="1060"/>
      <c r="N109" s="956"/>
      <c r="O109" s="976"/>
      <c r="P109" s="976"/>
      <c r="Q109" s="976"/>
      <c r="R109" s="976"/>
      <c r="S109" s="976"/>
      <c r="T109" s="976"/>
      <c r="U109" s="976"/>
      <c r="V109" s="974"/>
      <c r="W109" s="980"/>
      <c r="X109" s="1033" t="s">
        <v>255</v>
      </c>
      <c r="Y109" s="1029">
        <v>30</v>
      </c>
      <c r="Z109" s="1029">
        <v>130</v>
      </c>
      <c r="AA109" s="1029">
        <v>300</v>
      </c>
      <c r="AB109" s="1029">
        <v>600</v>
      </c>
      <c r="AC109" s="1029"/>
      <c r="AD109" s="978"/>
      <c r="AE109" s="1034" t="s">
        <v>180</v>
      </c>
      <c r="AF109" s="1034" t="s">
        <v>181</v>
      </c>
      <c r="AG109" s="1034" t="s">
        <v>182</v>
      </c>
      <c r="AH109" s="1055" t="s">
        <v>186</v>
      </c>
      <c r="AK109" s="1033" t="s">
        <v>173</v>
      </c>
      <c r="AL109" s="1035" t="s">
        <v>187</v>
      </c>
      <c r="AM109" s="1036" t="s">
        <v>183</v>
      </c>
    </row>
    <row r="110" spans="1:39" s="125" customFormat="1" ht="19.5" customHeight="1">
      <c r="A110" s="92"/>
      <c r="B110" s="104" t="s">
        <v>58</v>
      </c>
      <c r="C110" s="1209" t="s">
        <v>347</v>
      </c>
      <c r="D110" s="609">
        <v>5</v>
      </c>
      <c r="E110" s="633" t="e">
        <f>$D56*DB/DA</f>
        <v>#DIV/0!</v>
      </c>
      <c r="F110" s="587"/>
      <c r="G110" s="536" t="s">
        <v>58</v>
      </c>
      <c r="H110" s="1209" t="s">
        <v>356</v>
      </c>
      <c r="I110" s="609">
        <v>1.5</v>
      </c>
      <c r="J110" s="636" t="e">
        <f t="shared" ref="J110:J118" si="5">$I56*DB/DA</f>
        <v>#DIV/0!</v>
      </c>
      <c r="K110" s="967"/>
      <c r="L110" s="1061"/>
      <c r="M110" s="1061"/>
      <c r="N110" s="956"/>
      <c r="O110" s="1062" t="s">
        <v>77</v>
      </c>
      <c r="P110" s="992"/>
      <c r="Q110" s="992"/>
      <c r="R110" s="992"/>
      <c r="S110" s="992"/>
      <c r="T110" s="992"/>
      <c r="U110" s="992"/>
      <c r="V110" s="993"/>
      <c r="W110" s="985"/>
      <c r="X110" s="1033" t="s">
        <v>256</v>
      </c>
      <c r="Y110" s="1033">
        <v>6.3</v>
      </c>
      <c r="Z110" s="1033">
        <v>4</v>
      </c>
      <c r="AA110" s="1033">
        <v>3.2</v>
      </c>
      <c r="AB110" s="1033">
        <v>2</v>
      </c>
      <c r="AC110" s="1033"/>
      <c r="AD110" s="984"/>
      <c r="AE110" s="1057" t="e">
        <f>IF(EBopt &lt;= 130,ROUND(SLOPE(Y110:AB110,Y$109:AB$109)*EBopt+INTERCEPT(Y110:AB110,Y$109:AB$109),1)," ")</f>
        <v>#DIV/0!</v>
      </c>
      <c r="AF110" s="1057" t="e">
        <f>IF(AND(EBopt &gt; 130, EBopt &lt;= 300),ROUND(SLOPE(Y110:AB110,Y$109:AB$109)*EBopt+INTERCEPT(Y110:AB110,Y$109:AB$109),1)," ")</f>
        <v>#DIV/0!</v>
      </c>
      <c r="AG110" s="1057" t="e">
        <f>IF(AND(EBopt &gt; 300, EBopt &lt; 600),ROUND(SLOPE(Y110:AB110,Y$109:AB$109)*EBopt+INTERCEPT(Y110:AB110,Y$109:AB$109),1)," ")</f>
        <v>#DIV/0!</v>
      </c>
      <c r="AH110" s="125" t="e">
        <f>IF(EBopt &gt;= 600,$AB110," ")</f>
        <v>#DIV/0!</v>
      </c>
      <c r="AK110" s="1033" t="s">
        <v>256</v>
      </c>
      <c r="AL110" s="1058" t="e">
        <f>IF(EBopt&lt;=300,25," ")</f>
        <v>#DIV/0!</v>
      </c>
      <c r="AM110" s="1058" t="e">
        <f>IF(EBopt&gt;300,12.5," ")</f>
        <v>#DIV/0!</v>
      </c>
    </row>
    <row r="111" spans="1:39" ht="19.5" customHeight="1">
      <c r="A111" s="92"/>
      <c r="B111" s="105" t="s">
        <v>59</v>
      </c>
      <c r="C111" s="1210" t="s">
        <v>348</v>
      </c>
      <c r="D111" s="608">
        <v>2089</v>
      </c>
      <c r="E111" s="633" t="e">
        <f t="shared" ref="E111:E118" si="6">$D57*DB/DA</f>
        <v>#DIV/0!</v>
      </c>
      <c r="F111" s="588"/>
      <c r="G111" s="537" t="s">
        <v>59</v>
      </c>
      <c r="H111" s="1210" t="s">
        <v>357</v>
      </c>
      <c r="I111" s="608">
        <v>1555</v>
      </c>
      <c r="J111" s="636" t="e">
        <f t="shared" si="5"/>
        <v>#DIV/0!</v>
      </c>
      <c r="K111" s="967"/>
      <c r="L111" s="605"/>
      <c r="M111" s="605"/>
      <c r="N111" s="956"/>
      <c r="O111" s="976"/>
      <c r="P111" s="976"/>
      <c r="Q111" s="976"/>
      <c r="R111" s="976"/>
      <c r="S111" s="976"/>
      <c r="T111" s="976"/>
      <c r="U111" s="976"/>
      <c r="V111" s="974"/>
      <c r="X111" s="1033" t="s">
        <v>263</v>
      </c>
      <c r="Y111" s="1033">
        <v>6.3</v>
      </c>
      <c r="Z111" s="1033">
        <v>4</v>
      </c>
      <c r="AA111" s="1033">
        <v>3.2</v>
      </c>
      <c r="AB111" s="1033">
        <v>2</v>
      </c>
      <c r="AC111" s="1033"/>
      <c r="AE111" s="1057" t="e">
        <f>IF(EBopt &lt;= 130,ROUND(SLOPE(Y111:AB111,Y$109:AB$109)*EBopt+INTERCEPT(Y111:AB111,Y$109:AB$109),1)," ")</f>
        <v>#DIV/0!</v>
      </c>
      <c r="AF111" s="1057" t="e">
        <f>IF(AND(EBopt &gt; 130, EBopt &lt;= 300),ROUND(SLOPE(Y111:AB111,Y$109:AB$109)*EBopt+INTERCEPT(Y111:AB111,Y$109:AB$109),1)," ")</f>
        <v>#DIV/0!</v>
      </c>
      <c r="AG111" s="1057" t="e">
        <f>IF(AND(EBopt &gt; 300, EBopt &lt; 600),ROUND(SLOPE(Y111:AB111,Y$109:AB$109)*EBopt+INTERCEPT(Y111:AB111,Y$109:AB$109),1)," ")</f>
        <v>#DIV/0!</v>
      </c>
      <c r="AH111" s="125" t="e">
        <f>IF(EBopt &gt;= 600,$AB111," ")</f>
        <v>#DIV/0!</v>
      </c>
      <c r="AK111" s="1033" t="s">
        <v>263</v>
      </c>
      <c r="AL111" s="1058" t="e">
        <f>IF(EBopt&lt;=300,25," ")</f>
        <v>#DIV/0!</v>
      </c>
      <c r="AM111" s="1058" t="e">
        <f>IF(EBopt&gt;300,12.5," ")</f>
        <v>#DIV/0!</v>
      </c>
    </row>
    <row r="112" spans="1:39" ht="17.25" customHeight="1">
      <c r="A112" s="92"/>
      <c r="B112" s="107"/>
      <c r="C112" s="1210" t="s">
        <v>349</v>
      </c>
      <c r="D112" s="608">
        <v>0</v>
      </c>
      <c r="E112" s="633" t="e">
        <f t="shared" si="6"/>
        <v>#DIV/0!</v>
      </c>
      <c r="F112" s="588"/>
      <c r="G112" s="538"/>
      <c r="H112" s="1210" t="s">
        <v>358</v>
      </c>
      <c r="I112" s="608">
        <v>1470</v>
      </c>
      <c r="J112" s="636" t="e">
        <f t="shared" si="5"/>
        <v>#DIV/0!</v>
      </c>
      <c r="K112" s="967"/>
      <c r="L112" s="957"/>
      <c r="M112" s="957"/>
      <c r="N112" s="956"/>
      <c r="O112" s="976"/>
      <c r="P112" s="976"/>
      <c r="Q112" s="976"/>
      <c r="R112" s="976"/>
      <c r="S112" s="976"/>
      <c r="T112" s="976"/>
      <c r="U112" s="976"/>
      <c r="V112" s="974"/>
      <c r="X112" s="1033" t="s">
        <v>258</v>
      </c>
      <c r="Y112" s="1033">
        <v>6.3</v>
      </c>
      <c r="Z112" s="1033">
        <v>4</v>
      </c>
      <c r="AA112" s="1033">
        <v>3.2</v>
      </c>
      <c r="AB112" s="1033">
        <v>2</v>
      </c>
      <c r="AC112" s="1033"/>
      <c r="AE112" s="1057" t="e">
        <f>IF(EBopt &lt;= 130,ROUND(SLOPE(Y112:AB112,Y$109:AB$109)*EBopt+INTERCEPT(Y112:AB112,Y$109:AB$109),1)," ")</f>
        <v>#DIV/0!</v>
      </c>
      <c r="AF112" s="1057" t="e">
        <f>IF(AND(EBopt &gt; 130, EBopt &lt;= 300),ROUND(SLOPE(Y112:AB112,Y$109:AB$109)*EBopt+INTERCEPT(Y112:AB112,Y$109:AB$109),1)," ")</f>
        <v>#DIV/0!</v>
      </c>
      <c r="AG112" s="1057" t="e">
        <f>IF(AND(EBopt &gt; 300, EBopt &lt; 600),ROUND(SLOPE(Y112:AB112,Y$109:AB$109)*EBopt+INTERCEPT(Y112:AB112,Y$109:AB$109),1)," ")</f>
        <v>#DIV/0!</v>
      </c>
      <c r="AH112" s="125" t="e">
        <f>IF(EBopt &gt;= 600,$AB112," ")</f>
        <v>#DIV/0!</v>
      </c>
      <c r="AK112" s="1033" t="s">
        <v>258</v>
      </c>
      <c r="AL112" s="1058" t="e">
        <f>IF(EBopt&lt;=300,12.5," ")</f>
        <v>#DIV/0!</v>
      </c>
      <c r="AM112" s="1058" t="e">
        <f>IF(EBopt&gt;300,6.3," ")</f>
        <v>#DIV/0!</v>
      </c>
    </row>
    <row r="113" spans="1:39" ht="18.649999999999999" customHeight="1">
      <c r="A113" s="92"/>
      <c r="B113" s="107"/>
      <c r="C113" s="1210" t="s">
        <v>350</v>
      </c>
      <c r="D113" s="608">
        <v>0</v>
      </c>
      <c r="E113" s="633" t="e">
        <f t="shared" si="6"/>
        <v>#DIV/0!</v>
      </c>
      <c r="F113" s="588"/>
      <c r="G113" s="538"/>
      <c r="H113" s="1210" t="s">
        <v>359</v>
      </c>
      <c r="I113" s="608">
        <v>0</v>
      </c>
      <c r="J113" s="636" t="e">
        <f t="shared" si="5"/>
        <v>#DIV/0!</v>
      </c>
      <c r="K113" s="967"/>
      <c r="L113" s="605"/>
      <c r="M113" s="605"/>
      <c r="N113" s="632"/>
      <c r="O113" s="976"/>
      <c r="P113" s="976"/>
      <c r="Q113" s="976"/>
      <c r="R113" s="976"/>
      <c r="S113" s="976"/>
      <c r="T113" s="976"/>
      <c r="U113" s="976"/>
      <c r="V113" s="974"/>
      <c r="X113" s="1033" t="s">
        <v>259</v>
      </c>
      <c r="Y113" s="1033">
        <v>2.4</v>
      </c>
      <c r="Z113" s="1033">
        <v>1.3</v>
      </c>
      <c r="AA113" s="1033">
        <v>0.8</v>
      </c>
      <c r="AB113" s="1033">
        <v>0.6</v>
      </c>
      <c r="AC113" s="1033"/>
      <c r="AE113" s="1057" t="e">
        <f>IF(EBopt &lt;= 130,ROUND(SLOPE(Y113:AB113,Y$109:AB$109)*EBopt+INTERCEPT(Y113:AB113,Y$109:AB$109),1)," ")</f>
        <v>#DIV/0!</v>
      </c>
      <c r="AF113" s="1057" t="e">
        <f>IF(AND(EBopt &gt; 130, EBopt &lt;= 300),ROUND(SLOPE(Y113:AB113,Y$109:AB$109)*EBopt+INTERCEPT(Y113:AB113,Y$109:AB$109),1)," ")</f>
        <v>#DIV/0!</v>
      </c>
      <c r="AG113" s="1057" t="e">
        <f>IF(AND(EBopt &gt; 300, EBopt &lt; 600),ROUND(SLOPE(Y113:AB113,Y$109:AB$109)*EBopt+INTERCEPT(Y113:AB113,Y$109:AB$109),1)," ")</f>
        <v>#DIV/0!</v>
      </c>
      <c r="AH113" s="125" t="e">
        <f>IF(EBopt &gt;= 600,$AB113," ")</f>
        <v>#DIV/0!</v>
      </c>
      <c r="AK113" s="1033" t="s">
        <v>259</v>
      </c>
      <c r="AL113" s="1058" t="e">
        <f>IF(EBopt&lt;=300,6.3," ")</f>
        <v>#DIV/0!</v>
      </c>
      <c r="AM113" s="1058" t="e">
        <f>IF(EBopt&gt;300,3.2," ")</f>
        <v>#DIV/0!</v>
      </c>
    </row>
    <row r="114" spans="1:39" s="979" customFormat="1" ht="18.649999999999999" customHeight="1">
      <c r="A114" s="92"/>
      <c r="B114" s="108"/>
      <c r="C114" s="1210" t="s">
        <v>351</v>
      </c>
      <c r="D114" s="608">
        <v>0</v>
      </c>
      <c r="E114" s="633" t="e">
        <f t="shared" si="6"/>
        <v>#DIV/0!</v>
      </c>
      <c r="F114" s="588"/>
      <c r="G114" s="539"/>
      <c r="H114" s="1210" t="s">
        <v>360</v>
      </c>
      <c r="I114" s="608">
        <v>0</v>
      </c>
      <c r="J114" s="636" t="e">
        <f t="shared" si="5"/>
        <v>#DIV/0!</v>
      </c>
      <c r="K114" s="967"/>
      <c r="L114" s="605"/>
      <c r="M114" s="605"/>
      <c r="N114" s="632"/>
      <c r="O114" s="976"/>
      <c r="P114" s="976"/>
      <c r="Q114" s="976"/>
      <c r="R114" s="976"/>
      <c r="S114" s="976"/>
      <c r="T114" s="976"/>
      <c r="U114" s="976"/>
      <c r="V114" s="974"/>
      <c r="W114" s="980"/>
      <c r="X114" s="1033" t="s">
        <v>260</v>
      </c>
      <c r="Y114" s="1033">
        <v>6.3</v>
      </c>
      <c r="Z114" s="1033">
        <v>4</v>
      </c>
      <c r="AA114" s="1033">
        <v>3.2</v>
      </c>
      <c r="AB114" s="1033">
        <v>2</v>
      </c>
      <c r="AC114" s="1033"/>
      <c r="AD114" s="978"/>
      <c r="AE114" s="1057" t="e">
        <f>IF(EBopt &lt;= 130,ROUND(SLOPE(Y114:AB114,Y$109:AB$109)*EBopt+INTERCEPT(Y114:AB114,Y$109:AB$109),1)," ")</f>
        <v>#DIV/0!</v>
      </c>
      <c r="AF114" s="1057" t="e">
        <f>IF(AND(EBopt &gt; 130, EBopt &lt;= 300),ROUND(SLOPE(Y114:AB114,Y$109:AB$109)*EBopt+INTERCEPT(Y114:AB114,Y$109:AB$109),1)," ")</f>
        <v>#DIV/0!</v>
      </c>
      <c r="AG114" s="1057" t="e">
        <f>IF(AND(EBopt &gt; 300, EBopt &lt; 600),ROUND(SLOPE(Y114:AB114,Y$109:AB$109)*EBopt+INTERCEPT(Y114:AB114,Y$109:AB$109),1)," ")</f>
        <v>#DIV/0!</v>
      </c>
      <c r="AH114" s="125" t="e">
        <f>IF(EBopt &gt;= 600,$AB114," ")</f>
        <v>#DIV/0!</v>
      </c>
      <c r="AK114" s="1033" t="s">
        <v>260</v>
      </c>
      <c r="AL114" s="1058" t="e">
        <f>IF(EBopt&lt;=300,25," ")</f>
        <v>#DIV/0!</v>
      </c>
      <c r="AM114" s="1058" t="e">
        <f>IF(EBopt&gt;300,12.5," ")</f>
        <v>#DIV/0!</v>
      </c>
    </row>
    <row r="115" spans="1:39" ht="18.649999999999999" customHeight="1">
      <c r="A115" s="92"/>
      <c r="B115" s="109" t="s">
        <v>61</v>
      </c>
      <c r="C115" s="1210" t="s">
        <v>352</v>
      </c>
      <c r="D115" s="608">
        <v>106</v>
      </c>
      <c r="E115" s="633" t="e">
        <f t="shared" si="6"/>
        <v>#DIV/0!</v>
      </c>
      <c r="F115" s="588"/>
      <c r="G115" s="540" t="s">
        <v>61</v>
      </c>
      <c r="H115" s="1210" t="s">
        <v>361</v>
      </c>
      <c r="I115" s="608">
        <v>60</v>
      </c>
      <c r="J115" s="636" t="e">
        <f t="shared" si="5"/>
        <v>#DIV/0!</v>
      </c>
      <c r="K115" s="967"/>
      <c r="L115" s="605"/>
      <c r="M115" s="605"/>
      <c r="N115" s="632"/>
      <c r="O115" s="976"/>
      <c r="P115" s="976"/>
      <c r="Q115" s="976"/>
      <c r="R115" s="976"/>
      <c r="S115" s="976"/>
      <c r="T115" s="976"/>
      <c r="U115" s="976"/>
      <c r="V115" s="974"/>
      <c r="X115" s="1033"/>
      <c r="Y115" s="1033"/>
      <c r="Z115" s="1033"/>
      <c r="AA115" s="1033"/>
      <c r="AB115" s="1033"/>
      <c r="AC115" s="1033"/>
      <c r="AD115" s="978"/>
      <c r="AE115" s="1041"/>
      <c r="AF115" s="1041"/>
      <c r="AG115" s="1041"/>
      <c r="AH115" s="125"/>
      <c r="AI115" s="979"/>
      <c r="AJ115" s="979"/>
      <c r="AK115" s="1033"/>
      <c r="AL115" s="1042"/>
      <c r="AM115" s="1042"/>
    </row>
    <row r="116" spans="1:39" ht="18.649999999999999" customHeight="1">
      <c r="A116" s="92"/>
      <c r="B116" s="110"/>
      <c r="C116" s="1210" t="s">
        <v>353</v>
      </c>
      <c r="D116" s="608">
        <v>0</v>
      </c>
      <c r="E116" s="633" t="e">
        <f t="shared" si="6"/>
        <v>#DIV/0!</v>
      </c>
      <c r="F116" s="588"/>
      <c r="G116" s="541"/>
      <c r="H116" s="1210" t="s">
        <v>362</v>
      </c>
      <c r="I116" s="608">
        <v>60</v>
      </c>
      <c r="J116" s="636" t="e">
        <f t="shared" si="5"/>
        <v>#DIV/0!</v>
      </c>
      <c r="K116" s="631"/>
      <c r="L116" s="1060"/>
      <c r="M116" s="1060"/>
      <c r="N116" s="632"/>
    </row>
    <row r="117" spans="1:39" ht="18.649999999999999" customHeight="1">
      <c r="A117" s="92"/>
      <c r="B117" s="110"/>
      <c r="C117" s="1210" t="s">
        <v>354</v>
      </c>
      <c r="D117" s="608">
        <v>0</v>
      </c>
      <c r="E117" s="633" t="e">
        <f t="shared" si="6"/>
        <v>#DIV/0!</v>
      </c>
      <c r="F117" s="588"/>
      <c r="G117" s="541"/>
      <c r="H117" s="1210" t="s">
        <v>363</v>
      </c>
      <c r="I117" s="608">
        <v>0</v>
      </c>
      <c r="J117" s="636" t="e">
        <f t="shared" si="5"/>
        <v>#DIV/0!</v>
      </c>
      <c r="K117" s="631"/>
      <c r="L117" s="1060"/>
      <c r="M117" s="1060"/>
      <c r="N117" s="1063"/>
    </row>
    <row r="118" spans="1:39" ht="18.649999999999999" customHeight="1">
      <c r="A118" s="92"/>
      <c r="B118" s="111"/>
      <c r="C118" s="1210" t="s">
        <v>355</v>
      </c>
      <c r="D118" s="608">
        <v>0</v>
      </c>
      <c r="E118" s="633" t="e">
        <f t="shared" si="6"/>
        <v>#DIV/0!</v>
      </c>
      <c r="F118" s="588"/>
      <c r="G118" s="542"/>
      <c r="H118" s="1210" t="s">
        <v>364</v>
      </c>
      <c r="I118" s="608">
        <v>0</v>
      </c>
      <c r="J118" s="636" t="e">
        <f t="shared" si="5"/>
        <v>#DIV/0!</v>
      </c>
      <c r="K118" s="631"/>
      <c r="L118" s="1061"/>
      <c r="M118" s="1061"/>
      <c r="N118" s="1063"/>
    </row>
    <row r="119" spans="1:39" ht="18.649999999999999" customHeight="1">
      <c r="A119" s="122" t="s">
        <v>78</v>
      </c>
      <c r="B119" s="123" t="s">
        <v>62</v>
      </c>
      <c r="C119" s="112"/>
      <c r="D119" s="91"/>
      <c r="E119" s="575"/>
      <c r="F119" s="575"/>
      <c r="G119" s="575"/>
      <c r="H119" s="575"/>
      <c r="I119" s="553"/>
      <c r="J119" s="580"/>
      <c r="K119" s="1064"/>
      <c r="L119" s="605"/>
      <c r="M119" s="605"/>
      <c r="N119" s="1065"/>
    </row>
    <row r="120" spans="1:39" s="979" customFormat="1" ht="18.649999999999999" customHeight="1">
      <c r="A120" s="64"/>
      <c r="B120" s="280" t="s">
        <v>214</v>
      </c>
      <c r="C120" s="281" t="s">
        <v>52</v>
      </c>
      <c r="D120" s="282"/>
      <c r="E120" s="603"/>
      <c r="F120" s="575"/>
      <c r="G120" s="600" t="s">
        <v>215</v>
      </c>
      <c r="H120" s="618" t="s">
        <v>53</v>
      </c>
      <c r="I120" s="601"/>
      <c r="J120" s="687"/>
      <c r="K120" s="1064"/>
      <c r="L120" s="1012"/>
      <c r="M120" s="1012"/>
      <c r="N120" s="632"/>
      <c r="O120" s="978"/>
      <c r="P120" s="978"/>
      <c r="Q120" s="978"/>
      <c r="R120" s="978"/>
      <c r="S120" s="978"/>
      <c r="T120" s="978"/>
      <c r="U120" s="978"/>
      <c r="V120" s="980"/>
      <c r="W120" s="980"/>
      <c r="X120" s="315"/>
      <c r="Y120" s="315"/>
      <c r="Z120" s="315"/>
      <c r="AA120" s="315"/>
      <c r="AB120" s="315"/>
      <c r="AC120" s="315"/>
      <c r="AD120" s="315"/>
      <c r="AE120" s="315"/>
      <c r="AF120" s="277"/>
      <c r="AG120" s="277"/>
      <c r="AH120" s="277"/>
      <c r="AI120" s="277"/>
      <c r="AJ120" s="277"/>
      <c r="AK120" s="277"/>
      <c r="AL120" s="277"/>
      <c r="AM120" s="277"/>
    </row>
    <row r="121" spans="1:39" s="979" customFormat="1" ht="18.649999999999999" customHeight="1">
      <c r="A121" s="92"/>
      <c r="B121" s="102" t="s">
        <v>57</v>
      </c>
      <c r="C121" s="114" t="s">
        <v>55</v>
      </c>
      <c r="D121" s="279" t="s">
        <v>56</v>
      </c>
      <c r="E121" s="602" t="s">
        <v>211</v>
      </c>
      <c r="F121" s="592"/>
      <c r="G121" s="535" t="s">
        <v>57</v>
      </c>
      <c r="H121" s="555" t="s">
        <v>55</v>
      </c>
      <c r="I121" s="595" t="s">
        <v>56</v>
      </c>
      <c r="J121" s="688" t="s">
        <v>211</v>
      </c>
      <c r="K121" s="1066"/>
      <c r="L121" s="1067"/>
      <c r="M121" s="1067"/>
      <c r="N121" s="1068"/>
      <c r="O121" s="978"/>
      <c r="P121" s="978"/>
      <c r="Q121" s="978"/>
      <c r="R121" s="978"/>
      <c r="S121" s="978"/>
      <c r="T121" s="978"/>
      <c r="U121" s="978"/>
      <c r="V121" s="980"/>
      <c r="W121" s="980"/>
      <c r="X121" s="315"/>
      <c r="Y121" s="315"/>
      <c r="Z121" s="315"/>
      <c r="AA121" s="315"/>
      <c r="AB121" s="315"/>
      <c r="AC121" s="315"/>
      <c r="AD121" s="315"/>
      <c r="AE121" s="315"/>
      <c r="AF121" s="277"/>
      <c r="AG121" s="277"/>
      <c r="AH121" s="277"/>
      <c r="AI121" s="277"/>
      <c r="AJ121" s="277"/>
      <c r="AK121" s="277"/>
      <c r="AL121" s="277"/>
      <c r="AM121" s="277"/>
    </row>
    <row r="122" spans="1:39" s="125" customFormat="1" ht="18.649999999999999" customHeight="1">
      <c r="A122" s="92"/>
      <c r="B122" s="104" t="s">
        <v>58</v>
      </c>
      <c r="C122" s="1211" t="s">
        <v>365</v>
      </c>
      <c r="D122" s="609">
        <v>5</v>
      </c>
      <c r="E122" s="633" t="e">
        <f t="shared" ref="E122:E130" si="7">$D69*DB/DA</f>
        <v>#DIV/0!</v>
      </c>
      <c r="F122" s="587"/>
      <c r="G122" s="536" t="s">
        <v>58</v>
      </c>
      <c r="H122" s="1213" t="s">
        <v>374</v>
      </c>
      <c r="I122" s="609">
        <v>1.5</v>
      </c>
      <c r="J122" s="636" t="e">
        <f t="shared" ref="J122:J130" si="8">$I69*DB/DA</f>
        <v>#DIV/0!</v>
      </c>
      <c r="K122" s="631"/>
      <c r="L122" s="1067"/>
      <c r="M122" s="1067"/>
      <c r="N122" s="1068"/>
      <c r="O122" s="984"/>
      <c r="P122" s="984"/>
      <c r="Q122" s="984"/>
      <c r="R122" s="984"/>
      <c r="S122" s="984"/>
      <c r="T122" s="984"/>
      <c r="U122" s="984"/>
      <c r="V122" s="985"/>
      <c r="W122" s="985"/>
      <c r="X122" s="315"/>
      <c r="Y122" s="315"/>
      <c r="Z122" s="315"/>
      <c r="AA122" s="315"/>
      <c r="AB122" s="315"/>
      <c r="AC122" s="315"/>
      <c r="AD122" s="315"/>
      <c r="AE122" s="315"/>
      <c r="AF122" s="277"/>
      <c r="AG122" s="277"/>
      <c r="AH122" s="277"/>
      <c r="AI122" s="277"/>
      <c r="AJ122" s="277"/>
      <c r="AK122" s="277"/>
      <c r="AL122" s="277"/>
      <c r="AM122" s="277"/>
    </row>
    <row r="123" spans="1:39" ht="18.649999999999999" customHeight="1">
      <c r="A123" s="92"/>
      <c r="B123" s="105" t="s">
        <v>59</v>
      </c>
      <c r="C123" s="1212" t="s">
        <v>366</v>
      </c>
      <c r="D123" s="608">
        <v>2089</v>
      </c>
      <c r="E123" s="633" t="e">
        <f t="shared" si="7"/>
        <v>#DIV/0!</v>
      </c>
      <c r="F123" s="588"/>
      <c r="G123" s="537" t="s">
        <v>59</v>
      </c>
      <c r="H123" s="1214" t="s">
        <v>375</v>
      </c>
      <c r="I123" s="608">
        <v>1560</v>
      </c>
      <c r="J123" s="636" t="e">
        <f t="shared" si="8"/>
        <v>#DIV/0!</v>
      </c>
      <c r="K123" s="1069"/>
      <c r="L123" s="1067"/>
      <c r="M123" s="1067"/>
      <c r="N123" s="1068"/>
    </row>
    <row r="124" spans="1:39" ht="18.649999999999999" customHeight="1">
      <c r="A124" s="92"/>
      <c r="B124" s="107"/>
      <c r="C124" s="1212" t="s">
        <v>367</v>
      </c>
      <c r="D124" s="608">
        <v>0</v>
      </c>
      <c r="E124" s="633" t="e">
        <f t="shared" si="7"/>
        <v>#DIV/0!</v>
      </c>
      <c r="F124" s="588"/>
      <c r="G124" s="538"/>
      <c r="H124" s="1214" t="s">
        <v>376</v>
      </c>
      <c r="I124" s="608">
        <v>1549</v>
      </c>
      <c r="J124" s="636" t="e">
        <f t="shared" si="8"/>
        <v>#DIV/0!</v>
      </c>
      <c r="K124" s="1070"/>
      <c r="L124" s="1067"/>
      <c r="M124" s="1067"/>
      <c r="N124" s="1068"/>
      <c r="AF124" s="315"/>
      <c r="AG124" s="315"/>
      <c r="AH124" s="315"/>
      <c r="AI124" s="315"/>
      <c r="AJ124" s="315"/>
      <c r="AK124" s="315"/>
      <c r="AL124" s="315"/>
      <c r="AM124" s="315"/>
    </row>
    <row r="125" spans="1:39" ht="18.649999999999999" customHeight="1">
      <c r="A125" s="92"/>
      <c r="B125" s="107"/>
      <c r="C125" s="1212" t="s">
        <v>368</v>
      </c>
      <c r="D125" s="608">
        <v>0</v>
      </c>
      <c r="E125" s="633" t="e">
        <f t="shared" si="7"/>
        <v>#DIV/0!</v>
      </c>
      <c r="F125" s="588"/>
      <c r="G125" s="538"/>
      <c r="H125" s="1214" t="s">
        <v>377</v>
      </c>
      <c r="I125" s="608">
        <v>0</v>
      </c>
      <c r="J125" s="636" t="e">
        <f t="shared" si="8"/>
        <v>#DIV/0!</v>
      </c>
      <c r="K125" s="1070"/>
      <c r="L125" s="1067"/>
      <c r="M125" s="1067"/>
      <c r="N125" s="1068"/>
      <c r="AF125" s="315"/>
      <c r="AG125" s="315"/>
      <c r="AH125" s="315"/>
      <c r="AI125" s="315"/>
      <c r="AJ125" s="315"/>
      <c r="AK125" s="315"/>
      <c r="AL125" s="315"/>
      <c r="AM125" s="315"/>
    </row>
    <row r="126" spans="1:39" ht="18.649999999999999" customHeight="1">
      <c r="A126" s="92"/>
      <c r="B126" s="108"/>
      <c r="C126" s="1212" t="s">
        <v>369</v>
      </c>
      <c r="D126" s="608">
        <v>0</v>
      </c>
      <c r="E126" s="633" t="e">
        <f t="shared" si="7"/>
        <v>#DIV/0!</v>
      </c>
      <c r="F126" s="588"/>
      <c r="G126" s="539"/>
      <c r="H126" s="1214" t="s">
        <v>378</v>
      </c>
      <c r="I126" s="608">
        <v>0</v>
      </c>
      <c r="J126" s="636" t="e">
        <f t="shared" si="8"/>
        <v>#DIV/0!</v>
      </c>
      <c r="K126" s="1070"/>
      <c r="L126" s="605"/>
      <c r="M126" s="605"/>
      <c r="N126" s="632"/>
      <c r="AF126" s="315"/>
      <c r="AG126" s="315"/>
      <c r="AH126" s="315"/>
      <c r="AI126" s="315"/>
      <c r="AJ126" s="315"/>
      <c r="AK126" s="315"/>
      <c r="AL126" s="315"/>
      <c r="AM126" s="315"/>
    </row>
    <row r="127" spans="1:39" ht="18.649999999999999" customHeight="1">
      <c r="A127" s="92"/>
      <c r="B127" s="109" t="s">
        <v>61</v>
      </c>
      <c r="C127" s="1212" t="s">
        <v>370</v>
      </c>
      <c r="D127" s="608">
        <v>106</v>
      </c>
      <c r="E127" s="633" t="e">
        <f t="shared" si="7"/>
        <v>#DIV/0!</v>
      </c>
      <c r="F127" s="588"/>
      <c r="G127" s="540" t="s">
        <v>61</v>
      </c>
      <c r="H127" s="1214" t="s">
        <v>379</v>
      </c>
      <c r="I127" s="608">
        <v>60</v>
      </c>
      <c r="J127" s="636" t="e">
        <f t="shared" si="8"/>
        <v>#DIV/0!</v>
      </c>
      <c r="K127" s="1070"/>
      <c r="L127" s="605"/>
      <c r="M127" s="605"/>
      <c r="N127" s="632"/>
      <c r="AF127" s="315"/>
      <c r="AG127" s="315"/>
      <c r="AH127" s="315"/>
      <c r="AI127" s="315"/>
      <c r="AJ127" s="315"/>
      <c r="AK127" s="315"/>
      <c r="AL127" s="315"/>
      <c r="AM127" s="315"/>
    </row>
    <row r="128" spans="1:39" ht="18.649999999999999" customHeight="1">
      <c r="A128" s="92"/>
      <c r="B128" s="110"/>
      <c r="C128" s="1212" t="s">
        <v>371</v>
      </c>
      <c r="D128" s="608">
        <v>0</v>
      </c>
      <c r="E128" s="633" t="e">
        <f t="shared" si="7"/>
        <v>#DIV/0!</v>
      </c>
      <c r="F128" s="588"/>
      <c r="G128" s="541"/>
      <c r="H128" s="1214" t="s">
        <v>380</v>
      </c>
      <c r="I128" s="608">
        <v>60</v>
      </c>
      <c r="J128" s="636" t="e">
        <f t="shared" si="8"/>
        <v>#DIV/0!</v>
      </c>
      <c r="K128" s="1070"/>
      <c r="L128" s="605"/>
      <c r="M128" s="605"/>
      <c r="N128" s="632"/>
      <c r="AF128" s="315"/>
      <c r="AG128" s="315"/>
      <c r="AH128" s="315"/>
      <c r="AI128" s="315"/>
      <c r="AJ128" s="315"/>
      <c r="AK128" s="315"/>
      <c r="AL128" s="315"/>
      <c r="AM128" s="315"/>
    </row>
    <row r="129" spans="1:39" ht="18.649999999999999" customHeight="1">
      <c r="A129" s="92"/>
      <c r="B129" s="110"/>
      <c r="C129" s="1212" t="s">
        <v>372</v>
      </c>
      <c r="D129" s="608">
        <v>0</v>
      </c>
      <c r="E129" s="633" t="e">
        <f t="shared" si="7"/>
        <v>#DIV/0!</v>
      </c>
      <c r="F129" s="588"/>
      <c r="G129" s="541"/>
      <c r="H129" s="1214" t="s">
        <v>381</v>
      </c>
      <c r="I129" s="608">
        <v>0</v>
      </c>
      <c r="J129" s="636" t="e">
        <f t="shared" si="8"/>
        <v>#DIV/0!</v>
      </c>
      <c r="K129" s="631"/>
      <c r="L129" s="605"/>
      <c r="M129" s="605"/>
      <c r="N129" s="632"/>
      <c r="AF129" s="315"/>
      <c r="AG129" s="315"/>
      <c r="AH129" s="315"/>
      <c r="AI129" s="315"/>
      <c r="AJ129" s="315"/>
      <c r="AK129" s="315"/>
      <c r="AL129" s="315"/>
      <c r="AM129" s="315"/>
    </row>
    <row r="130" spans="1:39" ht="18.649999999999999" customHeight="1">
      <c r="A130" s="92"/>
      <c r="B130" s="111"/>
      <c r="C130" s="1212" t="s">
        <v>373</v>
      </c>
      <c r="D130" s="608">
        <v>0</v>
      </c>
      <c r="E130" s="633" t="e">
        <f t="shared" si="7"/>
        <v>#DIV/0!</v>
      </c>
      <c r="F130" s="588"/>
      <c r="G130" s="542"/>
      <c r="H130" s="1214" t="s">
        <v>382</v>
      </c>
      <c r="I130" s="608">
        <v>0</v>
      </c>
      <c r="J130" s="636" t="e">
        <f t="shared" si="8"/>
        <v>#DIV/0!</v>
      </c>
      <c r="K130" s="631"/>
      <c r="L130" s="605"/>
      <c r="M130" s="605"/>
      <c r="N130" s="632"/>
      <c r="AF130" s="315"/>
      <c r="AG130" s="315"/>
      <c r="AH130" s="315"/>
      <c r="AI130" s="315"/>
      <c r="AJ130" s="315"/>
      <c r="AK130" s="315"/>
      <c r="AL130" s="315"/>
      <c r="AM130" s="315"/>
    </row>
    <row r="131" spans="1:39" s="315" customFormat="1" ht="17.25" customHeight="1">
      <c r="A131" s="258" t="s">
        <v>79</v>
      </c>
      <c r="B131" s="79"/>
      <c r="C131" s="79"/>
      <c r="D131" s="127"/>
      <c r="E131" s="556"/>
      <c r="F131" s="556"/>
      <c r="G131" s="556"/>
      <c r="H131" s="556"/>
      <c r="I131" s="577"/>
      <c r="J131" s="579"/>
      <c r="K131" s="631"/>
      <c r="L131" s="605"/>
      <c r="M131" s="605"/>
      <c r="N131" s="632"/>
      <c r="V131" s="317"/>
      <c r="W131" s="317"/>
    </row>
    <row r="132" spans="1:39" s="315" customFormat="1" ht="18.649999999999999" customHeight="1">
      <c r="A132" s="128"/>
      <c r="B132" s="127"/>
      <c r="C132" s="46"/>
      <c r="D132" s="127"/>
      <c r="E132" s="577"/>
      <c r="F132" s="577"/>
      <c r="G132" s="556"/>
      <c r="H132" s="556"/>
      <c r="I132" s="577"/>
      <c r="J132" s="579"/>
      <c r="K132" s="631"/>
      <c r="L132" s="605"/>
      <c r="M132" s="605"/>
      <c r="N132" s="632"/>
      <c r="V132" s="317"/>
      <c r="W132" s="317"/>
    </row>
    <row r="133" spans="1:39" s="315" customFormat="1">
      <c r="A133" s="314"/>
      <c r="E133" s="605"/>
      <c r="F133" s="605"/>
      <c r="G133" s="606"/>
      <c r="H133" s="606"/>
      <c r="I133" s="605"/>
      <c r="J133" s="605"/>
      <c r="K133" s="631"/>
      <c r="L133" s="605"/>
      <c r="M133" s="605"/>
      <c r="N133" s="632"/>
      <c r="V133" s="317"/>
      <c r="W133" s="317"/>
    </row>
    <row r="134" spans="1:39" s="315" customFormat="1" ht="18.649999999999999" customHeight="1">
      <c r="A134" s="314"/>
      <c r="E134" s="605"/>
      <c r="F134" s="605"/>
      <c r="G134" s="606"/>
      <c r="H134" s="606"/>
      <c r="I134" s="605"/>
      <c r="J134" s="605"/>
      <c r="K134" s="605"/>
      <c r="N134" s="474"/>
      <c r="V134" s="317"/>
      <c r="W134" s="317"/>
    </row>
    <row r="135" spans="1:39" s="315" customFormat="1" ht="18.649999999999999" customHeight="1">
      <c r="A135" s="314"/>
      <c r="F135" s="316"/>
      <c r="G135" s="277"/>
      <c r="H135" s="277"/>
      <c r="N135" s="474"/>
    </row>
    <row r="136" spans="1:39" s="315" customFormat="1" ht="18.75" customHeight="1">
      <c r="A136" s="314"/>
      <c r="F136" s="316"/>
      <c r="G136" s="277"/>
      <c r="H136" s="277"/>
      <c r="N136" s="474"/>
    </row>
    <row r="137" spans="1:39" s="315" customFormat="1" ht="11.25" customHeight="1">
      <c r="A137" s="314"/>
      <c r="F137" s="316"/>
      <c r="G137" s="277"/>
      <c r="H137" s="277"/>
      <c r="N137" s="474"/>
    </row>
    <row r="138" spans="1:39" s="315" customFormat="1" ht="18.649999999999999" customHeight="1">
      <c r="A138" s="314"/>
      <c r="F138" s="316"/>
      <c r="G138" s="277"/>
      <c r="H138" s="277"/>
      <c r="N138" s="474"/>
    </row>
    <row r="139" spans="1:39" s="315" customFormat="1">
      <c r="A139" s="314"/>
      <c r="F139" s="316"/>
      <c r="G139" s="277"/>
      <c r="H139" s="277"/>
      <c r="N139" s="474"/>
      <c r="V139" s="317"/>
      <c r="W139" s="317"/>
    </row>
    <row r="140" spans="1:39" s="315" customFormat="1">
      <c r="A140" s="314"/>
      <c r="F140" s="316"/>
      <c r="G140" s="277"/>
      <c r="H140" s="277"/>
      <c r="N140" s="474"/>
      <c r="V140" s="317"/>
      <c r="W140" s="317"/>
    </row>
    <row r="141" spans="1:39" s="315" customFormat="1">
      <c r="A141" s="314"/>
      <c r="F141" s="316"/>
      <c r="G141" s="277"/>
      <c r="H141" s="277"/>
      <c r="N141" s="474"/>
      <c r="V141" s="317"/>
      <c r="W141" s="317"/>
    </row>
    <row r="142" spans="1:39" s="315" customFormat="1">
      <c r="A142" s="314"/>
      <c r="F142" s="316"/>
      <c r="N142" s="474"/>
      <c r="V142" s="317"/>
      <c r="W142" s="317"/>
    </row>
    <row r="143" spans="1:39" s="315" customFormat="1">
      <c r="A143" s="314"/>
      <c r="F143" s="316"/>
      <c r="N143" s="474"/>
      <c r="V143" s="317"/>
      <c r="W143" s="317"/>
    </row>
    <row r="144" spans="1:39" s="315" customFormat="1">
      <c r="A144" s="314"/>
      <c r="F144" s="316"/>
      <c r="N144" s="474"/>
      <c r="V144" s="317"/>
      <c r="W144" s="317"/>
    </row>
    <row r="145" spans="1:39" s="315" customFormat="1">
      <c r="A145" s="314"/>
      <c r="F145" s="316"/>
      <c r="N145" s="474"/>
      <c r="V145" s="317"/>
      <c r="W145" s="317"/>
    </row>
    <row r="146" spans="1:39" s="315" customFormat="1">
      <c r="A146" s="314"/>
      <c r="F146" s="316"/>
      <c r="N146" s="474"/>
      <c r="V146" s="317"/>
      <c r="W146" s="317"/>
    </row>
    <row r="147" spans="1:39" s="315" customFormat="1">
      <c r="A147" s="314"/>
      <c r="F147" s="316"/>
      <c r="N147" s="474"/>
      <c r="V147" s="317"/>
      <c r="W147" s="317"/>
    </row>
    <row r="148" spans="1:39" s="315" customFormat="1">
      <c r="A148" s="314"/>
      <c r="F148" s="316"/>
      <c r="N148" s="474"/>
      <c r="V148" s="317"/>
      <c r="W148" s="317"/>
    </row>
    <row r="149" spans="1:39" s="315" customFormat="1">
      <c r="A149" s="314"/>
      <c r="F149" s="316"/>
      <c r="N149" s="474"/>
      <c r="V149" s="317"/>
      <c r="W149" s="317"/>
    </row>
    <row r="150" spans="1:39" s="315" customFormat="1">
      <c r="A150" s="314"/>
      <c r="F150" s="316"/>
      <c r="N150" s="474"/>
      <c r="V150" s="317"/>
      <c r="W150" s="317"/>
    </row>
    <row r="151" spans="1:39" s="315" customFormat="1">
      <c r="A151" s="314"/>
      <c r="F151" s="316"/>
      <c r="N151" s="474"/>
      <c r="V151" s="317"/>
      <c r="W151" s="317"/>
    </row>
    <row r="152" spans="1:39" s="315" customFormat="1">
      <c r="A152" s="314"/>
      <c r="F152" s="316"/>
      <c r="N152" s="474"/>
      <c r="V152" s="317"/>
      <c r="W152" s="317"/>
    </row>
    <row r="153" spans="1:39" s="315" customFormat="1">
      <c r="A153" s="314"/>
      <c r="F153" s="316"/>
      <c r="N153" s="474"/>
      <c r="V153" s="317"/>
      <c r="W153" s="317"/>
    </row>
    <row r="154" spans="1:39" s="315" customFormat="1">
      <c r="A154" s="314"/>
      <c r="F154" s="316"/>
      <c r="N154" s="474"/>
      <c r="V154" s="317"/>
      <c r="W154" s="317"/>
    </row>
    <row r="155" spans="1:39" s="315" customFormat="1">
      <c r="A155" s="314"/>
      <c r="F155" s="316"/>
      <c r="N155" s="474"/>
      <c r="V155" s="317"/>
      <c r="W155" s="317"/>
    </row>
    <row r="156" spans="1:39" s="315" customFormat="1">
      <c r="A156" s="314"/>
      <c r="F156" s="316"/>
      <c r="N156" s="474"/>
      <c r="V156" s="317"/>
      <c r="W156" s="317"/>
    </row>
    <row r="157" spans="1:39" s="315" customFormat="1">
      <c r="A157" s="314"/>
      <c r="F157" s="316"/>
      <c r="N157" s="474"/>
      <c r="V157" s="317"/>
      <c r="W157" s="317"/>
      <c r="AF157" s="277"/>
      <c r="AG157" s="277"/>
      <c r="AH157" s="277"/>
      <c r="AI157" s="277"/>
      <c r="AJ157" s="277"/>
      <c r="AK157" s="277"/>
      <c r="AL157" s="277"/>
      <c r="AM157" s="277"/>
    </row>
    <row r="158" spans="1:39" s="315" customFormat="1">
      <c r="A158" s="314"/>
      <c r="F158" s="316"/>
      <c r="N158" s="474"/>
      <c r="V158" s="317"/>
      <c r="W158" s="317"/>
      <c r="AF158" s="277"/>
      <c r="AG158" s="277"/>
      <c r="AH158" s="277"/>
      <c r="AI158" s="277"/>
      <c r="AJ158" s="277"/>
      <c r="AK158" s="277"/>
      <c r="AL158" s="277"/>
      <c r="AM158" s="277"/>
    </row>
    <row r="159" spans="1:39" s="315" customFormat="1">
      <c r="A159" s="314"/>
      <c r="F159" s="316"/>
      <c r="N159" s="474"/>
      <c r="V159" s="317"/>
      <c r="W159" s="317"/>
      <c r="AF159" s="277"/>
      <c r="AG159" s="277"/>
      <c r="AH159" s="277"/>
      <c r="AI159" s="277"/>
      <c r="AJ159" s="277"/>
      <c r="AK159" s="277"/>
      <c r="AL159" s="277"/>
      <c r="AM159" s="277"/>
    </row>
    <row r="160" spans="1:39" s="315" customFormat="1">
      <c r="A160" s="314"/>
      <c r="F160" s="316"/>
      <c r="N160" s="474"/>
      <c r="V160" s="317"/>
      <c r="W160" s="317"/>
      <c r="AF160" s="277"/>
      <c r="AG160" s="277"/>
      <c r="AH160" s="277"/>
      <c r="AI160" s="277"/>
      <c r="AJ160" s="277"/>
      <c r="AK160" s="277"/>
      <c r="AL160" s="277"/>
      <c r="AM160" s="277"/>
    </row>
    <row r="161" spans="1:39" s="315" customFormat="1">
      <c r="A161" s="314"/>
      <c r="F161" s="316"/>
      <c r="N161" s="474"/>
      <c r="V161" s="317"/>
      <c r="W161" s="317"/>
      <c r="AF161" s="277"/>
      <c r="AG161" s="277"/>
      <c r="AH161" s="277"/>
      <c r="AI161" s="277"/>
      <c r="AJ161" s="277"/>
      <c r="AK161" s="277"/>
      <c r="AL161" s="277"/>
      <c r="AM161" s="277"/>
    </row>
    <row r="162" spans="1:39" s="315" customFormat="1">
      <c r="A162" s="314"/>
      <c r="F162" s="316"/>
      <c r="N162" s="474"/>
      <c r="V162" s="317"/>
      <c r="W162" s="317"/>
      <c r="AF162" s="277"/>
      <c r="AG162" s="277"/>
      <c r="AH162" s="277"/>
      <c r="AI162" s="277"/>
      <c r="AJ162" s="277"/>
      <c r="AK162" s="277"/>
      <c r="AL162" s="277"/>
      <c r="AM162" s="277"/>
    </row>
    <row r="163" spans="1:39" s="315" customFormat="1">
      <c r="A163" s="314"/>
      <c r="F163" s="316"/>
      <c r="N163" s="474"/>
      <c r="V163" s="317"/>
      <c r="W163" s="317"/>
      <c r="AF163" s="277"/>
      <c r="AG163" s="277"/>
      <c r="AH163" s="277"/>
      <c r="AI163" s="277"/>
      <c r="AJ163" s="277"/>
      <c r="AK163" s="277"/>
      <c r="AL163" s="277"/>
      <c r="AM163" s="277"/>
    </row>
  </sheetData>
  <sheetProtection formatCells="0" formatColumns="0" formatRows="0" autoFilter="0" pivotTables="0"/>
  <mergeCells count="35">
    <mergeCell ref="Y108:AC108"/>
    <mergeCell ref="AE108:AI108"/>
    <mergeCell ref="AL108:AM108"/>
    <mergeCell ref="Y92:AC92"/>
    <mergeCell ref="AE92:AI92"/>
    <mergeCell ref="AL92:AM92"/>
    <mergeCell ref="X97:AI97"/>
    <mergeCell ref="Y99:AC99"/>
    <mergeCell ref="AE99:AI99"/>
    <mergeCell ref="AL99:AM99"/>
    <mergeCell ref="H4:I4"/>
    <mergeCell ref="K4:N5"/>
    <mergeCell ref="K10:M11"/>
    <mergeCell ref="K13:L13"/>
    <mergeCell ref="X90:AI90"/>
    <mergeCell ref="E52:J53"/>
    <mergeCell ref="G82:J82"/>
    <mergeCell ref="K21:M23"/>
    <mergeCell ref="K81:M82"/>
    <mergeCell ref="B4:F4"/>
    <mergeCell ref="B6:D6"/>
    <mergeCell ref="D95:D97"/>
    <mergeCell ref="E95:E97"/>
    <mergeCell ref="G95:G97"/>
    <mergeCell ref="K107:M107"/>
    <mergeCell ref="K101:L105"/>
    <mergeCell ref="E92:F92"/>
    <mergeCell ref="K28:M30"/>
    <mergeCell ref="K8:K9"/>
    <mergeCell ref="K25:K26"/>
    <mergeCell ref="K16:L17"/>
    <mergeCell ref="K18:L19"/>
    <mergeCell ref="K57:L66"/>
    <mergeCell ref="K42:L48"/>
    <mergeCell ref="K50:L53"/>
  </mergeCells>
  <conditionalFormatting sqref="B31">
    <cfRule type="containsText" dxfId="24" priority="55" operator="containsText" text="Do not fill this table">
      <formula>NOT(ISERROR(SEARCH("Do not fill this table",B31)))</formula>
    </cfRule>
  </conditionalFormatting>
  <conditionalFormatting sqref="B21 G21">
    <cfRule type="containsText" dxfId="23" priority="54" operator="containsText" text="Applicable">
      <formula>NOT(ISERROR(SEARCH("Applicable",B21)))</formula>
    </cfRule>
  </conditionalFormatting>
  <conditionalFormatting sqref="B87:D87 G93:I93">
    <cfRule type="expression" dxfId="22" priority="53">
      <formula>$C$9=1</formula>
    </cfRule>
  </conditionalFormatting>
  <conditionalFormatting sqref="D92">
    <cfRule type="expression" dxfId="21" priority="46">
      <formula>$C$9=1</formula>
    </cfRule>
    <cfRule type="containsBlanks" priority="52">
      <formula>LEN(TRIM(D92))=0</formula>
    </cfRule>
  </conditionalFormatting>
  <conditionalFormatting sqref="I85">
    <cfRule type="expression" dxfId="20" priority="50">
      <formula>$C$9=1</formula>
    </cfRule>
  </conditionalFormatting>
  <conditionalFormatting sqref="I87">
    <cfRule type="expression" dxfId="19" priority="49">
      <formula>$C$9=1</formula>
    </cfRule>
  </conditionalFormatting>
  <conditionalFormatting sqref="D109 I109 D121 I121">
    <cfRule type="expression" dxfId="18" priority="34">
      <formula>$C$9=1</formula>
    </cfRule>
  </conditionalFormatting>
  <conditionalFormatting sqref="G85:I87">
    <cfRule type="expression" dxfId="17" priority="30">
      <formula>$C$9=1</formula>
    </cfRule>
  </conditionalFormatting>
  <conditionalFormatting sqref="E109:E118 E120:E130">
    <cfRule type="expression" dxfId="16" priority="29">
      <formula>OR($C$9=2,$C$9=3)</formula>
    </cfRule>
  </conditionalFormatting>
  <conditionalFormatting sqref="J109:J118 J121:J130">
    <cfRule type="expression" dxfId="15" priority="11">
      <formula>$C$9=1</formula>
    </cfRule>
    <cfRule type="expression" dxfId="14" priority="24">
      <formula>OR($C$9=2,$C$9=3)</formula>
    </cfRule>
  </conditionalFormatting>
  <conditionalFormatting sqref="B87:D87">
    <cfRule type="expression" dxfId="13" priority="21">
      <formula>OR($C$9=2,$C$9=3)</formula>
    </cfRule>
  </conditionalFormatting>
  <conditionalFormatting sqref="K80:M98">
    <cfRule type="expression" dxfId="12" priority="17">
      <formula>$C$9=1</formula>
    </cfRule>
  </conditionalFormatting>
  <conditionalFormatting sqref="L83:M98">
    <cfRule type="expression" dxfId="11" priority="16">
      <formula>$C$9=1</formula>
    </cfRule>
  </conditionalFormatting>
  <conditionalFormatting sqref="M86:M97">
    <cfRule type="expression" dxfId="10" priority="15">
      <formula>$C$9=1</formula>
    </cfRule>
  </conditionalFormatting>
  <conditionalFormatting sqref="E108 J108 J120 E120">
    <cfRule type="expression" dxfId="9" priority="12">
      <formula>$C$9=1</formula>
    </cfRule>
  </conditionalFormatting>
  <conditionalFormatting sqref="K83:K85 K87:K89 K96:K98 K91:K94">
    <cfRule type="expression" dxfId="8" priority="10">
      <formula>OR($C$9=2,$C$9=3)</formula>
    </cfRule>
  </conditionalFormatting>
  <conditionalFormatting sqref="B85:D85 B91:D91 G91:I91">
    <cfRule type="expression" dxfId="7" priority="9">
      <formula>OR($C$9=2,$C$9=3)</formula>
    </cfRule>
  </conditionalFormatting>
  <conditionalFormatting sqref="B86:D86 B92:D92 G92:I92">
    <cfRule type="expression" dxfId="6" priority="5">
      <formula>$C$9=1</formula>
    </cfRule>
  </conditionalFormatting>
  <conditionalFormatting sqref="D110:D118">
    <cfRule type="expression" dxfId="5" priority="4">
      <formula>$C$9=1</formula>
    </cfRule>
  </conditionalFormatting>
  <conditionalFormatting sqref="I110:I118">
    <cfRule type="expression" dxfId="4" priority="3">
      <formula>$C$9=1</formula>
    </cfRule>
  </conditionalFormatting>
  <conditionalFormatting sqref="I122:I130">
    <cfRule type="expression" dxfId="3" priority="2">
      <formula>$C$9=1</formula>
    </cfRule>
  </conditionalFormatting>
  <conditionalFormatting sqref="D122:D130">
    <cfRule type="expression" dxfId="2" priority="1">
      <formula>$C$9=1</formula>
    </cfRule>
  </conditionalFormatting>
  <dataValidations count="3">
    <dataValidation type="list" allowBlank="1" showInputMessage="1" showErrorMessage="1" sqref="D51">
      <formula1>"Y,N"</formula1>
    </dataValidation>
    <dataValidation type="list" allowBlank="1" showInputMessage="1" showErrorMessage="1" sqref="C9">
      <formula1>"1,2,3"</formula1>
    </dataValidation>
    <dataValidation type="list" allowBlank="1" showInputMessage="1" showErrorMessage="1" sqref="C13">
      <formula1>"1,2,3,4"</formula1>
    </dataValidation>
  </dataValidations>
  <pageMargins left="0.70866141732283472" right="0.70866141732283472" top="0.74803149606299213" bottom="0.74803149606299213" header="0.31496062992125984" footer="0.31496062992125984"/>
  <pageSetup paperSize="9" scale="58" fitToHeight="2" orientation="portrait" r:id="rId1"/>
  <rowBreaks count="1" manualBreakCount="1">
    <brk id="65" max="9" man="1"/>
  </rowBreaks>
  <ignoredErrors>
    <ignoredError sqref="D98:D104" unlockedFormula="1"/>
  </ignoredErrors>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14</xdr:col>
                <xdr:colOff>127000</xdr:colOff>
                <xdr:row>13</xdr:row>
                <xdr:rowOff>57150</xdr:rowOff>
              </from>
              <to>
                <xdr:col>22</xdr:col>
                <xdr:colOff>1200150</xdr:colOff>
                <xdr:row>68</xdr:row>
                <xdr:rowOff>88900</xdr:rowOff>
              </to>
            </anchor>
          </objectPr>
        </oleObject>
      </mc:Choice>
      <mc:Fallback>
        <oleObject progId="Word.Picture.8" shapeId="3073" r:id="rId4"/>
      </mc:Fallback>
    </mc:AlternateContent>
    <mc:AlternateContent xmlns:mc="http://schemas.openxmlformats.org/markup-compatibility/2006">
      <mc:Choice Requires="x14">
        <oleObject progId="Word.Picture.8" shapeId="3074" r:id="rId6">
          <objectPr defaultSize="0" autoPict="0" r:id="rId7">
            <anchor moveWithCells="1" sizeWithCells="1">
              <from>
                <xdr:col>14</xdr:col>
                <xdr:colOff>114300</xdr:colOff>
                <xdr:row>69</xdr:row>
                <xdr:rowOff>133350</xdr:rowOff>
              </from>
              <to>
                <xdr:col>22</xdr:col>
                <xdr:colOff>1085850</xdr:colOff>
                <xdr:row>110</xdr:row>
                <xdr:rowOff>57150</xdr:rowOff>
              </to>
            </anchor>
          </objectPr>
        </oleObject>
      </mc:Choice>
      <mc:Fallback>
        <oleObject progId="Word.Picture.8" shapeId="3074"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8"/>
  <sheetViews>
    <sheetView showGridLines="0" topLeftCell="A19" zoomScale="60" zoomScaleNormal="60" zoomScaleSheetLayoutView="63" workbookViewId="0">
      <selection activeCell="E40" sqref="E40:E44"/>
    </sheetView>
  </sheetViews>
  <sheetFormatPr defaultColWidth="10.26953125" defaultRowHeight="20.149999999999999" customHeight="1"/>
  <cols>
    <col min="1" max="1" width="4.7265625" style="301" customWidth="1"/>
    <col min="2" max="2" width="19.7265625" style="302" customWidth="1"/>
    <col min="3" max="3" width="32.7265625" style="302" customWidth="1"/>
    <col min="4" max="4" width="63.7265625" style="302" customWidth="1"/>
    <col min="5" max="5" width="19.7265625" style="302" customWidth="1"/>
    <col min="6" max="6" width="32.7265625" style="302" customWidth="1"/>
    <col min="7" max="7" width="7.453125" style="302" customWidth="1"/>
    <col min="8" max="8" width="18.7265625" style="303" customWidth="1"/>
    <col min="9" max="9" width="17.453125" style="303" bestFit="1" customWidth="1"/>
    <col min="10" max="10" width="12.26953125" style="304" customWidth="1"/>
    <col min="11" max="11" width="11.7265625" style="305" customWidth="1"/>
    <col min="12" max="12" width="11.26953125" style="305" customWidth="1"/>
    <col min="13" max="13" width="7" style="301" customWidth="1"/>
    <col min="14" max="14" width="9.7265625" style="305" customWidth="1"/>
    <col min="15" max="15" width="7.7265625" style="305" customWidth="1"/>
    <col min="16" max="16384" width="10.26953125" style="305"/>
  </cols>
  <sheetData>
    <row r="1" spans="1:13" ht="16.5" customHeight="1">
      <c r="A1" s="138"/>
      <c r="B1" s="139"/>
      <c r="C1" s="766" t="s">
        <v>285</v>
      </c>
      <c r="D1" s="139"/>
      <c r="E1" s="139"/>
      <c r="F1" s="139"/>
    </row>
    <row r="2" spans="1:13" s="307" customFormat="1" ht="18">
      <c r="A2" s="141"/>
      <c r="B2" s="141"/>
      <c r="C2" s="496"/>
      <c r="D2" s="142"/>
      <c r="E2" s="142"/>
      <c r="F2" s="497"/>
      <c r="G2" s="1071"/>
      <c r="H2" s="1071"/>
      <c r="I2" s="1071"/>
      <c r="J2" s="1071"/>
      <c r="M2" s="306"/>
    </row>
    <row r="3" spans="1:13" s="307" customFormat="1" ht="12.75" customHeight="1">
      <c r="A3" s="141"/>
      <c r="B3" s="140"/>
      <c r="C3" s="497"/>
      <c r="D3" s="142"/>
      <c r="E3" s="142"/>
      <c r="F3" s="497"/>
      <c r="G3" s="1071"/>
      <c r="H3" s="1071"/>
      <c r="I3" s="1071"/>
      <c r="J3" s="1071"/>
      <c r="M3" s="306"/>
    </row>
    <row r="4" spans="1:13" s="307" customFormat="1" ht="16.5" customHeight="1">
      <c r="A4" s="143"/>
      <c r="B4" s="134" t="s">
        <v>84</v>
      </c>
      <c r="C4" s="738" t="str">
        <f>IF(ISBLANK('Input Form'!B4)," ",Project)</f>
        <v xml:space="preserve"> </v>
      </c>
      <c r="D4" s="1208"/>
      <c r="E4" s="735" t="s">
        <v>85</v>
      </c>
      <c r="F4" s="700">
        <f>RefNumb</f>
        <v>0</v>
      </c>
      <c r="J4" s="1072"/>
    </row>
    <row r="5" spans="1:13" s="307" customFormat="1" ht="3.75" customHeight="1">
      <c r="A5" s="143"/>
      <c r="B5" s="134"/>
      <c r="C5" s="498"/>
      <c r="D5" s="561"/>
      <c r="G5" s="1071"/>
      <c r="H5" s="1073"/>
      <c r="I5" s="1073"/>
      <c r="J5" s="1071"/>
    </row>
    <row r="6" spans="1:13" s="307" customFormat="1" ht="16.5" customHeight="1">
      <c r="A6" s="143"/>
      <c r="B6" s="134" t="s">
        <v>81</v>
      </c>
      <c r="C6" s="701">
        <f ca="1">IF(ISBLANK('Input Form'!B7),TODAY(),_Date)</f>
        <v>43321</v>
      </c>
      <c r="D6" s="697"/>
      <c r="E6" s="559"/>
      <c r="F6" s="559"/>
      <c r="G6" s="1071"/>
      <c r="J6" s="1071"/>
    </row>
    <row r="7" spans="1:13" s="307" customFormat="1" ht="3" customHeight="1">
      <c r="A7" s="140"/>
      <c r="B7" s="142"/>
      <c r="C7" s="497"/>
      <c r="D7" s="698"/>
      <c r="E7" s="562"/>
      <c r="F7" s="696"/>
      <c r="G7" s="1071"/>
      <c r="H7" s="1071"/>
      <c r="I7" s="1071"/>
      <c r="J7" s="1071"/>
    </row>
    <row r="8" spans="1:13" ht="16.5" customHeight="1">
      <c r="A8" s="150"/>
      <c r="B8" s="166" t="s">
        <v>191</v>
      </c>
      <c r="C8" s="817" t="str">
        <f>IF(IT=1,"Francis turbine",IF(IT=2,"Pump-turbine (Turbine mode)",IF(IT=3,"Pump-turbine (Pump mode)", IF(IT=4,"Axial flow machines","???"))))</f>
        <v>Pump-turbine (Turbine mode)</v>
      </c>
      <c r="D8" s="699"/>
      <c r="E8" s="149" t="str">
        <f>IF(Ic=3,"Conversion of the Optimum Point","Step "&amp;Ic&amp;" of the '2 step Method'")</f>
        <v>Step 1 of the '2 step Method'</v>
      </c>
      <c r="F8" s="144"/>
      <c r="G8" s="303"/>
      <c r="M8" s="305"/>
    </row>
    <row r="9" spans="1:13" ht="11.5" customHeight="1">
      <c r="A9" s="150"/>
      <c r="B9" s="151"/>
      <c r="C9" s="154"/>
      <c r="D9" s="151"/>
      <c r="E9" s="155"/>
      <c r="F9" s="151"/>
      <c r="G9" s="303"/>
      <c r="M9" s="305"/>
    </row>
    <row r="10" spans="1:13" ht="16.5" customHeight="1">
      <c r="A10" s="150"/>
      <c r="B10" s="827" t="s">
        <v>86</v>
      </c>
      <c r="C10" s="155"/>
      <c r="D10" s="151"/>
      <c r="E10" s="154"/>
      <c r="F10" s="151"/>
      <c r="G10" s="1074"/>
      <c r="H10" s="1075" t="s">
        <v>87</v>
      </c>
      <c r="M10" s="305"/>
    </row>
    <row r="11" spans="1:13" s="308" customFormat="1" ht="5.25" customHeight="1" thickBot="1">
      <c r="A11" s="156"/>
      <c r="B11" s="157"/>
      <c r="C11" s="152"/>
      <c r="D11" s="153"/>
      <c r="E11" s="153"/>
      <c r="F11" s="152"/>
      <c r="G11" s="304"/>
      <c r="H11" s="1076"/>
      <c r="I11" s="1076"/>
      <c r="J11" s="1077"/>
      <c r="K11" s="1078"/>
    </row>
    <row r="12" spans="1:13" s="308" customFormat="1" ht="20" thickBot="1">
      <c r="A12" s="156"/>
      <c r="B12" s="820"/>
      <c r="C12" s="821"/>
      <c r="D12" s="287"/>
      <c r="E12" s="780" t="s">
        <v>307</v>
      </c>
      <c r="F12" s="1242">
        <f>ViscB</f>
        <v>1.0036136888703258E-6</v>
      </c>
      <c r="G12" s="1079"/>
      <c r="H12" s="1079"/>
      <c r="I12" s="1079"/>
      <c r="J12" s="1080"/>
      <c r="K12" s="1078"/>
    </row>
    <row r="13" spans="1:13" s="308" customFormat="1" ht="20" thickBot="1">
      <c r="A13" s="156"/>
      <c r="B13" s="818" t="s">
        <v>297</v>
      </c>
      <c r="C13" s="819" t="e">
        <f>NQE</f>
        <v>#DIV/0!</v>
      </c>
      <c r="D13" s="153"/>
      <c r="E13" s="781" t="s">
        <v>293</v>
      </c>
      <c r="F13" s="506" t="e">
        <f>ReB</f>
        <v>#DIV/0!</v>
      </c>
      <c r="G13" s="304"/>
      <c r="H13" s="1081"/>
      <c r="I13" s="1076"/>
      <c r="J13" s="1077"/>
      <c r="K13" s="1078"/>
    </row>
    <row r="14" spans="1:13" s="308" customFormat="1" ht="6.75" customHeight="1" thickBot="1">
      <c r="A14" s="156"/>
      <c r="B14" s="782"/>
      <c r="C14" s="499"/>
      <c r="D14" s="153"/>
      <c r="E14" s="782"/>
      <c r="F14" s="499"/>
      <c r="G14" s="304"/>
      <c r="H14" s="1286" t="s">
        <v>309</v>
      </c>
      <c r="I14" s="1286"/>
      <c r="J14" s="1286"/>
      <c r="K14" s="1286"/>
    </row>
    <row r="15" spans="1:13" s="308" customFormat="1" ht="20" thickBot="1">
      <c r="A15" s="156"/>
      <c r="B15" s="788" t="s">
        <v>298</v>
      </c>
      <c r="C15" s="500">
        <f>DB</f>
        <v>0</v>
      </c>
      <c r="D15" s="153"/>
      <c r="E15" s="783" t="s">
        <v>308</v>
      </c>
      <c r="F15" s="1243">
        <f>IF(Ic=1,1/(0.001*((1-0.00000000046699*101325)+0.000008*(twB-4+(0.00000021318913)*101325)^2-0.00000006*(twB-4+(0.00000021318913)*101325)^3)),'Input Form'!I87)</f>
        <v>998.24363106922283</v>
      </c>
      <c r="G15" s="304"/>
      <c r="H15" s="1286"/>
      <c r="I15" s="1286"/>
      <c r="J15" s="1286"/>
      <c r="K15" s="1286"/>
    </row>
    <row r="16" spans="1:13" s="308" customFormat="1" ht="10.15" customHeight="1">
      <c r="A16" s="156"/>
      <c r="B16" s="156"/>
      <c r="C16" s="499"/>
      <c r="D16" s="153"/>
      <c r="E16" s="156"/>
      <c r="F16" s="499"/>
      <c r="G16" s="304"/>
      <c r="H16" s="1286"/>
      <c r="I16" s="1286"/>
      <c r="J16" s="1286"/>
      <c r="K16" s="1286"/>
    </row>
    <row r="17" spans="1:13" s="308" customFormat="1" ht="16.5" customHeight="1">
      <c r="A17" s="156"/>
      <c r="B17" s="825" t="s">
        <v>88</v>
      </c>
      <c r="C17" s="501"/>
      <c r="D17" s="153"/>
      <c r="E17" s="825" t="s">
        <v>89</v>
      </c>
      <c r="F17" s="507"/>
      <c r="G17" s="304"/>
      <c r="H17" s="1082"/>
      <c r="I17" s="1083"/>
      <c r="J17" s="1084"/>
      <c r="K17" s="1078"/>
    </row>
    <row r="18" spans="1:13" s="309" customFormat="1" ht="15.5">
      <c r="A18" s="158"/>
      <c r="B18" s="826" t="str">
        <f>IF(Ic=1,"of the REFERENCE MODEL (subscript B)","of the PROTOTYPE (subscript B)")</f>
        <v>of the REFERENCE MODEL (subscript B)</v>
      </c>
      <c r="C18" s="288"/>
      <c r="D18" s="79"/>
      <c r="E18" s="825" t="str">
        <f>IF(Ic=1,"of the REFERENCE MODEL (subscript B)","of the PROTOTYPE (subscript B)")</f>
        <v>of the REFERENCE MODEL (subscript B)</v>
      </c>
      <c r="F18" s="288"/>
      <c r="G18" s="1085"/>
      <c r="H18" s="1082"/>
      <c r="I18" s="1086"/>
      <c r="J18" s="1087"/>
      <c r="K18" s="1088"/>
      <c r="L18" s="305"/>
      <c r="M18" s="305"/>
    </row>
    <row r="19" spans="1:13" s="309" customFormat="1" ht="7.5" customHeight="1" thickBot="1">
      <c r="A19" s="158"/>
      <c r="B19" s="159"/>
      <c r="C19" s="79"/>
      <c r="D19" s="79"/>
      <c r="E19" s="774"/>
      <c r="F19" s="79"/>
      <c r="G19" s="1085"/>
      <c r="H19" s="1082"/>
      <c r="I19" s="1086"/>
      <c r="J19" s="1087"/>
      <c r="K19" s="1088"/>
      <c r="L19" s="305"/>
      <c r="M19" s="305"/>
    </row>
    <row r="20" spans="1:13" ht="16.5" customHeight="1">
      <c r="A20" s="150"/>
      <c r="B20" s="776" t="s">
        <v>299</v>
      </c>
      <c r="C20" s="293" t="e">
        <f>nB</f>
        <v>#DIV/0!</v>
      </c>
      <c r="D20" s="1287" t="str">
        <f>IF(Ic=1,"These values of Turbine B can be selected and copied (Special paste) in Turbine A in the sheet 'Input form'  for step  2"," ")</f>
        <v>These values of Turbine B can be selected and copied (Special paste) in Turbine A in the sheet 'Input form'  for step  2</v>
      </c>
      <c r="E20" s="776" t="s">
        <v>317</v>
      </c>
      <c r="F20" s="1236" t="e">
        <f>IF(Ic=3,"-",nB)</f>
        <v>#DIV/0!</v>
      </c>
      <c r="G20" s="305"/>
      <c r="H20" s="1089"/>
      <c r="I20" s="1090"/>
      <c r="J20" s="1090"/>
      <c r="K20" s="1090"/>
      <c r="M20" s="305"/>
    </row>
    <row r="21" spans="1:13" ht="16.5" customHeight="1">
      <c r="A21" s="150"/>
      <c r="B21" s="777" t="s">
        <v>305</v>
      </c>
      <c r="C21" s="294" t="e">
        <f>Q1Bopt</f>
        <v>#DIV/0!</v>
      </c>
      <c r="D21" s="1287"/>
      <c r="E21" s="777" t="s">
        <v>514</v>
      </c>
      <c r="F21" s="1237" t="e">
        <f>IF(Ic=3,"-",Q1Bi)</f>
        <v>#DIV/0!</v>
      </c>
      <c r="G21" s="1091"/>
      <c r="H21" s="1092"/>
      <c r="I21" s="1090"/>
      <c r="J21" s="1090"/>
      <c r="K21" s="1090"/>
      <c r="M21" s="305"/>
    </row>
    <row r="22" spans="1:13" ht="16.5" customHeight="1">
      <c r="A22" s="150"/>
      <c r="B22" s="777" t="s">
        <v>300</v>
      </c>
      <c r="C22" s="295" t="e">
        <f>EBopt</f>
        <v>#DIV/0!</v>
      </c>
      <c r="D22" s="1287"/>
      <c r="E22" s="777" t="s">
        <v>318</v>
      </c>
      <c r="F22" s="1238" t="e">
        <f>IF(Ic=3,"-",EBi)</f>
        <v>#DIV/0!</v>
      </c>
      <c r="G22" s="1093"/>
      <c r="H22" s="1090"/>
      <c r="I22" s="1094"/>
      <c r="J22" s="1094"/>
      <c r="K22" s="1094"/>
      <c r="L22" s="1094"/>
      <c r="M22" s="305"/>
    </row>
    <row r="23" spans="1:13" ht="16.5" customHeight="1">
      <c r="A23" s="150"/>
      <c r="B23" s="891" t="s">
        <v>515</v>
      </c>
      <c r="C23" s="892" t="e">
        <f>EtaAopt*(1+$C$33)*(1+$C$34)*(1+$C$35)</f>
        <v>#DIV/0!</v>
      </c>
      <c r="D23" s="1287"/>
      <c r="E23" s="778" t="s">
        <v>319</v>
      </c>
      <c r="F23" s="1239" t="e">
        <f>IF(Ic=3,"-",EtaAi*(1+F33)*(1+F34)*(1+F35))</f>
        <v>#DIV/0!</v>
      </c>
      <c r="G23" s="1095"/>
      <c r="H23" s="1096" t="s">
        <v>310</v>
      </c>
      <c r="I23" s="1097"/>
      <c r="J23" s="1097"/>
      <c r="K23" s="1097"/>
      <c r="L23" s="1094"/>
      <c r="M23" s="305"/>
    </row>
    <row r="24" spans="1:13" ht="20" thickBot="1">
      <c r="A24" s="150"/>
      <c r="B24" s="779" t="s">
        <v>516</v>
      </c>
      <c r="C24" s="502">
        <f>IF(Ic=1,twP,'Input Form'!$D$86)</f>
        <v>20</v>
      </c>
      <c r="D24" s="1287"/>
      <c r="E24" s="779" t="s">
        <v>320</v>
      </c>
      <c r="F24" s="1240">
        <f>IF(Ic=3,"-",twB)</f>
        <v>20</v>
      </c>
      <c r="G24" s="1098"/>
      <c r="H24" s="1099" t="s">
        <v>311</v>
      </c>
      <c r="I24" s="1100"/>
      <c r="J24" s="1100"/>
      <c r="K24" s="1100"/>
      <c r="M24" s="305"/>
    </row>
    <row r="25" spans="1:13" ht="6" customHeight="1">
      <c r="A25" s="150"/>
      <c r="B25" s="789"/>
      <c r="C25" s="503"/>
      <c r="D25" s="296"/>
      <c r="E25" s="775"/>
      <c r="F25" s="268"/>
      <c r="G25" s="1090"/>
      <c r="H25" s="1100"/>
      <c r="I25" s="1100"/>
      <c r="J25" s="1100"/>
      <c r="K25" s="1100"/>
      <c r="M25" s="305"/>
    </row>
    <row r="26" spans="1:13" ht="6" customHeight="1" thickBot="1">
      <c r="A26" s="150"/>
      <c r="B26" s="789"/>
      <c r="C26" s="503"/>
      <c r="D26" s="296"/>
      <c r="E26" s="775"/>
      <c r="F26" s="268"/>
      <c r="G26" s="1090"/>
      <c r="H26" s="1100"/>
      <c r="I26" s="1100"/>
      <c r="J26" s="1100"/>
      <c r="K26" s="1100"/>
      <c r="M26" s="305"/>
    </row>
    <row r="27" spans="1:13" ht="20" thickBot="1">
      <c r="A27" s="150"/>
      <c r="B27" s="784" t="s">
        <v>301</v>
      </c>
      <c r="C27" s="1231" t="e">
        <f>IF(IT=3,100*(rhoB/1000)*EBopt*Q1Bopt/EtaBopt,EtaBopt*(rhoB/1000)*EBopt*Q1Bopt/100)</f>
        <v>#DIV/0!</v>
      </c>
      <c r="D27" s="152"/>
      <c r="E27" s="784" t="s">
        <v>321</v>
      </c>
      <c r="F27" s="1241" t="e">
        <f>IF(Ic=3,"-",IF(IT=3,100*(rhoB/1000)*EMBi*Q1Bi/EtaBi,EtaBi*(rhoB/1000)*EMBi*Q1Bi/100))</f>
        <v>#DIV/0!</v>
      </c>
      <c r="G27" s="1090"/>
      <c r="H27" s="1100"/>
      <c r="I27" s="1100"/>
      <c r="J27" s="1100"/>
      <c r="K27" s="1100"/>
      <c r="L27" s="1101"/>
      <c r="M27" s="305"/>
    </row>
    <row r="28" spans="1:13" ht="8.25" customHeight="1">
      <c r="A28" s="150"/>
      <c r="B28" s="298"/>
      <c r="C28" s="299"/>
      <c r="D28" s="152"/>
      <c r="E28" s="298"/>
      <c r="F28" s="300"/>
      <c r="G28" s="1090"/>
      <c r="H28" s="1100"/>
      <c r="I28" s="1100"/>
      <c r="J28" s="1100"/>
      <c r="K28" s="1100"/>
      <c r="L28" s="1101"/>
      <c r="M28" s="305"/>
    </row>
    <row r="29" spans="1:13" s="310" customFormat="1" ht="16.5">
      <c r="A29" s="289" t="e">
        <f>IF(EtaAopt&gt;E44,"Notice"," ")</f>
        <v>#DIV/0!</v>
      </c>
      <c r="B29" s="160"/>
      <c r="C29" s="150"/>
      <c r="D29" s="161"/>
      <c r="E29" s="160"/>
      <c r="F29" s="150"/>
      <c r="H29" s="1100"/>
      <c r="I29" s="1099"/>
      <c r="J29" s="1100"/>
      <c r="K29" s="1100"/>
    </row>
    <row r="30" spans="1:13" ht="18" customHeight="1">
      <c r="A30" s="1288" t="e">
        <f>IF(EtaAopt&gt;E44,"The input value of 'Model hydraulic efficiency' exceeds the 'Assumed max. hydraulic efficiency' of  "&amp;ROUND(EtahAMAX,2)&amp;" %.  A correction is applied on the transposition of the optimum efficency point (See the Clause 7.2)"," ")</f>
        <v>#DIV/0!</v>
      </c>
      <c r="B30" s="1288"/>
      <c r="C30" s="1288"/>
      <c r="D30" s="1288"/>
      <c r="E30" s="1288"/>
      <c r="F30" s="1288"/>
      <c r="G30" s="1102"/>
      <c r="H30" s="1103"/>
      <c r="I30" s="1103"/>
      <c r="J30" s="1103"/>
      <c r="K30" s="1100"/>
    </row>
    <row r="31" spans="1:13" ht="16.5" customHeight="1" thickBot="1">
      <c r="A31" s="1288"/>
      <c r="B31" s="1288"/>
      <c r="C31" s="1288"/>
      <c r="D31" s="1288"/>
      <c r="E31" s="1288"/>
      <c r="F31" s="1288"/>
      <c r="G31" s="1102"/>
      <c r="H31" s="1103"/>
      <c r="I31" s="1103"/>
      <c r="J31" s="1103"/>
      <c r="K31" s="1100"/>
    </row>
    <row r="32" spans="1:13" s="312" customFormat="1" ht="19.5">
      <c r="A32" s="162"/>
      <c r="B32" s="893" t="s">
        <v>513</v>
      </c>
      <c r="C32" s="1232">
        <f>EtaAopt</f>
        <v>0</v>
      </c>
      <c r="D32" s="139"/>
      <c r="E32" s="785" t="s">
        <v>322</v>
      </c>
      <c r="F32" s="508">
        <f>IF(Ic=3,"-",EtaAi)</f>
        <v>0</v>
      </c>
      <c r="G32" s="1104"/>
      <c r="H32" s="1096"/>
      <c r="I32" s="1105"/>
      <c r="J32" s="1105"/>
      <c r="K32" s="1106"/>
      <c r="M32" s="1107"/>
    </row>
    <row r="33" spans="1:15" ht="19.5">
      <c r="A33" s="164"/>
      <c r="B33" s="778" t="s">
        <v>302</v>
      </c>
      <c r="C33" s="1233" t="e">
        <f>'Specific Energy Eff.'!$F$77</f>
        <v>#DIV/0!</v>
      </c>
      <c r="D33" s="139"/>
      <c r="E33" s="778" t="s">
        <v>294</v>
      </c>
      <c r="F33" s="509" t="e">
        <f>IF(Ic=3,"-",'Specific Energy Eff.'!F82)</f>
        <v>#DIV/0!</v>
      </c>
      <c r="G33" s="301"/>
      <c r="H33" s="1100"/>
      <c r="I33" s="1100"/>
      <c r="J33" s="1103"/>
      <c r="K33" s="1100"/>
    </row>
    <row r="34" spans="1:15" ht="19.5">
      <c r="A34" s="138"/>
      <c r="B34" s="778" t="s">
        <v>303</v>
      </c>
      <c r="C34" s="1233">
        <f>'Volumetric Eff.'!$C$126</f>
        <v>0</v>
      </c>
      <c r="D34" s="139"/>
      <c r="E34" s="778" t="s">
        <v>295</v>
      </c>
      <c r="F34" s="509">
        <f>IF(Ic=3,"-",'Volumetric Eff.'!C126)</f>
        <v>0</v>
      </c>
      <c r="G34" s="301"/>
      <c r="H34" s="1285" t="s">
        <v>312</v>
      </c>
      <c r="I34" s="1285"/>
      <c r="J34" s="1285"/>
      <c r="K34" s="1285"/>
    </row>
    <row r="35" spans="1:15" ht="20" thickBot="1">
      <c r="A35" s="138"/>
      <c r="B35" s="786" t="s">
        <v>304</v>
      </c>
      <c r="C35" s="1234" t="e">
        <f>'Power Eff.'!$C$42</f>
        <v>#DIV/0!</v>
      </c>
      <c r="D35" s="138"/>
      <c r="E35" s="786" t="s">
        <v>296</v>
      </c>
      <c r="F35" s="510" t="e">
        <f>IF(Ic=3,"-",'Power Eff.'!C37)</f>
        <v>#DIV/0!</v>
      </c>
      <c r="G35" s="301"/>
      <c r="H35" s="1285"/>
      <c r="I35" s="1285"/>
      <c r="J35" s="1285"/>
      <c r="K35" s="1285"/>
    </row>
    <row r="36" spans="1:15" ht="6.75" customHeight="1" thickBot="1">
      <c r="A36" s="138"/>
      <c r="B36" s="790"/>
      <c r="C36" s="1235"/>
      <c r="D36" s="138"/>
      <c r="E36" s="291"/>
      <c r="F36" s="292"/>
      <c r="G36" s="301"/>
      <c r="H36" s="1100"/>
      <c r="I36" s="1100"/>
      <c r="J36" s="1100"/>
      <c r="K36" s="1100"/>
    </row>
    <row r="37" spans="1:15" s="313" customFormat="1" ht="20" thickBot="1">
      <c r="A37" s="165"/>
      <c r="B37" s="788" t="s">
        <v>306</v>
      </c>
      <c r="C37" s="604" t="e">
        <f>$C$23-EtaAopt</f>
        <v>#DIV/0!</v>
      </c>
      <c r="D37" s="138"/>
      <c r="E37" s="787" t="s">
        <v>323</v>
      </c>
      <c r="F37" s="290" t="e">
        <f>IF(Ic=3,"-",EtaBi-EtaAi)</f>
        <v>#DIV/0!</v>
      </c>
      <c r="G37" s="1108"/>
      <c r="H37" s="1109" t="s">
        <v>313</v>
      </c>
      <c r="I37" s="1110"/>
      <c r="J37" s="1110"/>
      <c r="K37" s="1110"/>
      <c r="L37" s="1111"/>
      <c r="M37" s="1111"/>
      <c r="N37" s="1111"/>
      <c r="O37" s="1111"/>
    </row>
    <row r="38" spans="1:15" s="311" customFormat="1" ht="7.5" customHeight="1">
      <c r="A38" s="297"/>
      <c r="B38" s="297"/>
      <c r="C38" s="504"/>
      <c r="D38" s="297"/>
      <c r="E38" s="297"/>
      <c r="F38" s="504"/>
      <c r="G38" s="1112"/>
      <c r="H38" s="1113"/>
      <c r="I38" s="1113"/>
      <c r="J38" s="1113"/>
      <c r="K38" s="1113"/>
      <c r="L38" s="1111"/>
      <c r="M38" s="1111"/>
      <c r="N38" s="1111"/>
      <c r="O38" s="1111"/>
    </row>
    <row r="39" spans="1:15" s="311" customFormat="1" ht="16.5" customHeight="1">
      <c r="A39" s="166" t="s">
        <v>167</v>
      </c>
      <c r="B39" s="152"/>
      <c r="C39" s="152"/>
      <c r="D39" s="152"/>
      <c r="E39" s="152"/>
      <c r="F39" s="263"/>
      <c r="G39" s="1114"/>
      <c r="H39" s="1115"/>
      <c r="I39" s="1113"/>
      <c r="J39" s="1113"/>
      <c r="K39" s="1113"/>
      <c r="L39" s="1111"/>
      <c r="M39" s="1111"/>
      <c r="N39" s="1111"/>
      <c r="O39" s="1111"/>
    </row>
    <row r="40" spans="1:15" ht="20">
      <c r="A40" s="150"/>
      <c r="B40" s="167" t="s">
        <v>282</v>
      </c>
      <c r="C40" s="151"/>
      <c r="D40" s="150"/>
      <c r="E40" s="753">
        <f>IF(IT=1,3.75,IF(IT=2,4.85,IF(IT=3,5.2,IF(IT=4,4.5,"'Type of turbine': Incorrect !"))))</f>
        <v>4.8499999999999996</v>
      </c>
      <c r="F40" s="296" t="s">
        <v>41</v>
      </c>
      <c r="G40" s="1116"/>
      <c r="H40" s="1117"/>
      <c r="I40" s="1117"/>
      <c r="J40" s="1117"/>
      <c r="K40" s="1118"/>
      <c r="L40" s="1119"/>
      <c r="M40" s="1119"/>
      <c r="N40" s="1119"/>
      <c r="O40" s="1119"/>
    </row>
    <row r="41" spans="1:15" ht="19.5">
      <c r="A41" s="150"/>
      <c r="B41" s="167" t="s">
        <v>315</v>
      </c>
      <c r="C41" s="151"/>
      <c r="D41" s="150"/>
      <c r="E41" s="753">
        <f>IF(IT=4,0,1)</f>
        <v>1</v>
      </c>
      <c r="F41" s="296" t="s">
        <v>41</v>
      </c>
      <c r="G41" s="1120"/>
      <c r="H41" s="1121"/>
      <c r="I41" s="1121"/>
      <c r="J41" s="1121"/>
      <c r="K41" s="1122"/>
      <c r="L41" s="1119"/>
      <c r="M41" s="1119"/>
      <c r="N41" s="1119"/>
      <c r="O41" s="1119"/>
    </row>
    <row r="42" spans="1:15" ht="20">
      <c r="A42" s="150"/>
      <c r="B42" s="167" t="s">
        <v>283</v>
      </c>
      <c r="C42" s="151"/>
      <c r="D42" s="150"/>
      <c r="E42" s="753" t="e">
        <f>IF(IT=1,0.5+0.005/(NQE^2),IF(IT=2,1.1+0.015/(NQE^2),IF(IT=3,1.4+0.019/(NQE^2),IF(IT=4,0,"'Type of turbine' : Incorrect !"))))</f>
        <v>#DIV/0!</v>
      </c>
      <c r="F42" s="296" t="s">
        <v>41</v>
      </c>
      <c r="G42" s="1123"/>
      <c r="H42" s="1124"/>
      <c r="I42" s="1125"/>
      <c r="J42" s="1126"/>
      <c r="K42" s="1122"/>
      <c r="L42" s="1119"/>
      <c r="M42" s="1119"/>
      <c r="N42" s="1119"/>
      <c r="O42" s="1119"/>
    </row>
    <row r="43" spans="1:15" ht="19.5">
      <c r="A43" s="150"/>
      <c r="B43" s="872" t="s">
        <v>502</v>
      </c>
      <c r="C43" s="265"/>
      <c r="D43" s="150"/>
      <c r="E43" s="270" t="e">
        <f>(1-E40/100)*(1-E41/100)*(1-E42/100)*100</f>
        <v>#DIV/0!</v>
      </c>
      <c r="F43" s="296" t="s">
        <v>41</v>
      </c>
      <c r="G43" s="1123"/>
      <c r="H43" s="1124"/>
      <c r="I43" s="1125"/>
      <c r="J43" s="1126"/>
      <c r="K43" s="1122"/>
      <c r="L43" s="1119"/>
      <c r="M43" s="1119"/>
      <c r="N43" s="1119"/>
      <c r="O43" s="1119"/>
    </row>
    <row r="44" spans="1:15" ht="16.5">
      <c r="A44" s="165"/>
      <c r="B44" s="873" t="str">
        <f>IF(Ic=2,"Assumed max. hydraulic efficiency for the tested model at ReM* and RaM*, ηhAmaxM*","Assumed max. hydraulic efficiency for the tested model at ReM and RaM, ηhAmaxM")</f>
        <v>Assumed max. hydraulic efficiency for the tested model at ReM and RaM, ηhAmaxM</v>
      </c>
      <c r="C44" s="139"/>
      <c r="D44" s="139"/>
      <c r="E44" s="754" t="e">
        <f>E43*(1+'EtahAmaxM (Spec. Energy Eff.)'!F72)*(1+'EtahAmaxM (Power Eff.)'!C38)</f>
        <v>#DIV/0!</v>
      </c>
      <c r="F44" s="754" t="s">
        <v>41</v>
      </c>
      <c r="G44" s="1127"/>
      <c r="H44" s="1124"/>
      <c r="I44" s="1125"/>
      <c r="J44" s="1126"/>
      <c r="K44" s="1122"/>
      <c r="L44" s="1119"/>
      <c r="M44" s="1128"/>
      <c r="N44" s="1119"/>
      <c r="O44" s="1119"/>
    </row>
    <row r="45" spans="1:15" ht="15.5">
      <c r="E45" s="1138"/>
      <c r="F45" s="1139"/>
      <c r="G45" s="1129"/>
      <c r="H45" s="1130"/>
      <c r="J45" s="1131"/>
      <c r="K45" s="1132"/>
      <c r="L45" s="1119"/>
      <c r="M45" s="1128"/>
      <c r="N45" s="1119"/>
      <c r="O45" s="1119"/>
    </row>
    <row r="46" spans="1:15" ht="20.149999999999999" customHeight="1">
      <c r="F46" s="1133"/>
      <c r="G46" s="1133"/>
      <c r="H46" s="1134"/>
      <c r="I46" s="1134"/>
      <c r="J46" s="1135"/>
      <c r="K46" s="1136"/>
      <c r="L46" s="1119"/>
      <c r="M46" s="1128"/>
      <c r="N46" s="1119"/>
      <c r="O46" s="1119"/>
    </row>
    <row r="47" spans="1:15" ht="20.149999999999999" customHeight="1">
      <c r="A47" s="305"/>
      <c r="B47" s="303"/>
      <c r="C47" s="303"/>
      <c r="D47" s="303"/>
      <c r="E47" s="303"/>
      <c r="F47" s="303"/>
      <c r="G47" s="1116"/>
      <c r="H47" s="1116"/>
      <c r="I47" s="1116"/>
      <c r="J47" s="1137"/>
      <c r="K47" s="1119"/>
      <c r="L47" s="1119"/>
      <c r="M47" s="1119"/>
      <c r="N47" s="1119"/>
      <c r="O47" s="1119"/>
    </row>
    <row r="48" spans="1:15" ht="20.149999999999999" customHeight="1">
      <c r="A48" s="305"/>
      <c r="B48" s="303"/>
      <c r="C48" s="303"/>
      <c r="D48" s="303"/>
      <c r="E48" s="303"/>
      <c r="F48" s="303"/>
      <c r="G48" s="1116"/>
      <c r="H48" s="1116"/>
      <c r="I48" s="1116"/>
      <c r="J48" s="1137"/>
      <c r="K48" s="1119"/>
      <c r="L48" s="1119"/>
      <c r="M48" s="1119"/>
      <c r="N48" s="1119"/>
      <c r="O48" s="1119"/>
    </row>
    <row r="49" spans="1:15" ht="20.149999999999999" customHeight="1">
      <c r="A49" s="305"/>
      <c r="B49" s="303"/>
      <c r="C49" s="303"/>
      <c r="D49" s="303"/>
      <c r="E49" s="303"/>
      <c r="F49" s="303"/>
      <c r="G49" s="1116"/>
      <c r="H49" s="1116"/>
      <c r="I49" s="1116"/>
      <c r="J49" s="1137"/>
      <c r="K49" s="1119"/>
      <c r="L49" s="1119"/>
      <c r="M49" s="1119"/>
      <c r="N49" s="1119"/>
      <c r="O49" s="1119"/>
    </row>
    <row r="50" spans="1:15" ht="20.149999999999999" customHeight="1">
      <c r="A50" s="305"/>
      <c r="B50" s="303"/>
      <c r="C50" s="303"/>
      <c r="D50" s="303"/>
      <c r="E50" s="303"/>
      <c r="F50" s="303"/>
      <c r="G50" s="1119"/>
      <c r="H50" s="1119"/>
      <c r="I50" s="1119"/>
      <c r="J50" s="1119"/>
      <c r="K50" s="1119"/>
      <c r="M50" s="305"/>
    </row>
    <row r="51" spans="1:15" ht="20.149999999999999" customHeight="1">
      <c r="G51" s="301"/>
      <c r="H51" s="305"/>
      <c r="I51" s="305"/>
      <c r="J51" s="305"/>
    </row>
    <row r="52" spans="1:15" ht="20.149999999999999" customHeight="1">
      <c r="G52" s="301"/>
      <c r="H52" s="305"/>
      <c r="I52" s="305"/>
      <c r="J52" s="305"/>
    </row>
    <row r="53" spans="1:15" ht="20.149999999999999" customHeight="1">
      <c r="B53" s="301"/>
      <c r="C53" s="505"/>
      <c r="D53" s="301"/>
      <c r="E53" s="301"/>
      <c r="G53" s="301"/>
      <c r="H53" s="305"/>
      <c r="I53" s="305"/>
      <c r="J53" s="305"/>
    </row>
    <row r="54" spans="1:15" ht="20.149999999999999" customHeight="1">
      <c r="B54" s="301"/>
      <c r="C54" s="505"/>
      <c r="D54" s="301"/>
      <c r="E54" s="301"/>
      <c r="G54" s="301"/>
      <c r="H54" s="305"/>
      <c r="I54" s="305"/>
      <c r="J54" s="305"/>
    </row>
    <row r="55" spans="1:15" ht="20.149999999999999" customHeight="1">
      <c r="B55" s="301"/>
      <c r="C55" s="505"/>
      <c r="D55" s="301"/>
      <c r="E55" s="301"/>
      <c r="G55" s="301"/>
      <c r="H55" s="305"/>
      <c r="I55" s="305"/>
      <c r="J55" s="305"/>
    </row>
    <row r="56" spans="1:15" ht="20.149999999999999" customHeight="1">
      <c r="B56" s="301"/>
      <c r="C56" s="505"/>
      <c r="D56" s="301"/>
      <c r="E56" s="301"/>
      <c r="G56" s="301"/>
      <c r="H56" s="305"/>
      <c r="I56" s="305"/>
      <c r="J56" s="305"/>
    </row>
    <row r="57" spans="1:15" ht="20.149999999999999" customHeight="1">
      <c r="B57" s="301"/>
      <c r="C57" s="505"/>
      <c r="D57" s="301"/>
      <c r="E57" s="301"/>
      <c r="G57" s="301"/>
      <c r="H57" s="305"/>
      <c r="I57" s="305"/>
      <c r="J57" s="305"/>
    </row>
    <row r="58" spans="1:15" ht="20.149999999999999" customHeight="1">
      <c r="B58" s="301"/>
      <c r="C58" s="505"/>
      <c r="D58" s="301"/>
      <c r="E58" s="301"/>
      <c r="G58" s="301"/>
      <c r="H58" s="305"/>
      <c r="I58" s="305"/>
      <c r="J58" s="305"/>
    </row>
    <row r="59" spans="1:15" ht="20.149999999999999" customHeight="1">
      <c r="B59" s="301"/>
      <c r="C59" s="505"/>
      <c r="D59" s="301"/>
      <c r="E59" s="301"/>
      <c r="G59" s="301"/>
      <c r="H59" s="305"/>
      <c r="I59" s="305"/>
      <c r="J59" s="305"/>
    </row>
    <row r="60" spans="1:15" ht="20.149999999999999" customHeight="1">
      <c r="B60" s="301"/>
      <c r="C60" s="505"/>
      <c r="D60" s="301"/>
      <c r="E60" s="301"/>
      <c r="G60" s="301"/>
      <c r="H60" s="305"/>
      <c r="I60" s="305"/>
      <c r="J60" s="305"/>
    </row>
    <row r="61" spans="1:15" ht="20.149999999999999" customHeight="1">
      <c r="B61" s="301"/>
      <c r="C61" s="505"/>
      <c r="D61" s="301"/>
      <c r="E61" s="301"/>
      <c r="G61" s="301"/>
      <c r="H61" s="305"/>
      <c r="I61" s="305"/>
      <c r="J61" s="305"/>
    </row>
    <row r="62" spans="1:15" ht="20.149999999999999" customHeight="1">
      <c r="B62" s="301"/>
      <c r="C62" s="505"/>
      <c r="D62" s="301"/>
      <c r="E62" s="301"/>
      <c r="G62" s="301"/>
      <c r="H62" s="305"/>
      <c r="I62" s="305"/>
      <c r="J62" s="305"/>
    </row>
    <row r="63" spans="1:15" ht="20.149999999999999" customHeight="1">
      <c r="B63" s="301"/>
      <c r="C63" s="505"/>
      <c r="D63" s="301"/>
      <c r="E63" s="301"/>
      <c r="G63" s="301"/>
      <c r="H63" s="305"/>
      <c r="I63" s="305"/>
      <c r="J63" s="305"/>
    </row>
    <row r="64" spans="1:15" ht="20.149999999999999" customHeight="1">
      <c r="B64" s="301"/>
      <c r="C64" s="505"/>
      <c r="D64" s="301"/>
      <c r="E64" s="301"/>
      <c r="G64" s="301"/>
      <c r="H64" s="305"/>
      <c r="I64" s="305"/>
      <c r="J64" s="305"/>
    </row>
    <row r="65" spans="2:10" ht="20.149999999999999" customHeight="1">
      <c r="B65" s="301"/>
      <c r="C65" s="505"/>
      <c r="D65" s="301"/>
      <c r="E65" s="301"/>
      <c r="G65" s="301"/>
      <c r="H65" s="305"/>
      <c r="I65" s="305"/>
      <c r="J65" s="305"/>
    </row>
    <row r="66" spans="2:10" ht="20.149999999999999" customHeight="1">
      <c r="B66" s="301"/>
      <c r="C66" s="505"/>
      <c r="D66" s="301"/>
      <c r="E66" s="301"/>
      <c r="G66" s="301"/>
      <c r="H66" s="305"/>
      <c r="I66" s="305"/>
      <c r="J66" s="305"/>
    </row>
    <row r="67" spans="2:10" ht="20.149999999999999" customHeight="1">
      <c r="B67" s="301"/>
      <c r="C67" s="505"/>
      <c r="D67" s="301"/>
      <c r="E67" s="301"/>
      <c r="G67" s="301"/>
      <c r="H67" s="305"/>
      <c r="I67" s="305"/>
      <c r="J67" s="305"/>
    </row>
    <row r="68" spans="2:10" ht="20.149999999999999" customHeight="1">
      <c r="B68" s="301"/>
      <c r="C68" s="505"/>
      <c r="D68" s="301"/>
      <c r="E68" s="301"/>
      <c r="G68" s="301"/>
      <c r="H68" s="305"/>
      <c r="I68" s="305"/>
      <c r="J68" s="305"/>
    </row>
    <row r="69" spans="2:10" ht="20.149999999999999" customHeight="1">
      <c r="B69" s="301"/>
      <c r="C69" s="505"/>
      <c r="D69" s="301"/>
      <c r="E69" s="301"/>
      <c r="G69" s="301"/>
      <c r="H69" s="305"/>
      <c r="I69" s="305"/>
      <c r="J69" s="305"/>
    </row>
    <row r="70" spans="2:10" ht="20.149999999999999" customHeight="1">
      <c r="B70" s="301"/>
      <c r="C70" s="505"/>
      <c r="D70" s="301"/>
      <c r="E70" s="301"/>
      <c r="G70" s="301"/>
      <c r="H70" s="305"/>
      <c r="I70" s="305"/>
      <c r="J70" s="305"/>
    </row>
    <row r="71" spans="2:10" ht="20.149999999999999" customHeight="1">
      <c r="B71" s="301"/>
      <c r="C71" s="505"/>
      <c r="D71" s="301"/>
      <c r="E71" s="301"/>
      <c r="G71" s="301"/>
      <c r="H71" s="305"/>
      <c r="I71" s="305"/>
      <c r="J71" s="305"/>
    </row>
    <row r="72" spans="2:10" ht="20.149999999999999" customHeight="1">
      <c r="B72" s="301"/>
      <c r="C72" s="505"/>
      <c r="D72" s="301"/>
      <c r="E72" s="301"/>
      <c r="G72" s="301"/>
      <c r="H72" s="305"/>
      <c r="I72" s="305"/>
      <c r="J72" s="305"/>
    </row>
    <row r="73" spans="2:10" ht="20.149999999999999" customHeight="1">
      <c r="B73" s="301"/>
      <c r="C73" s="505"/>
      <c r="D73" s="301"/>
      <c r="E73" s="301"/>
      <c r="G73" s="301"/>
      <c r="H73" s="305"/>
      <c r="I73" s="305"/>
      <c r="J73" s="305"/>
    </row>
    <row r="74" spans="2:10" ht="20.149999999999999" customHeight="1">
      <c r="B74" s="301"/>
      <c r="C74" s="505"/>
      <c r="D74" s="301"/>
      <c r="E74" s="301"/>
      <c r="G74" s="301"/>
      <c r="H74" s="305"/>
      <c r="I74" s="305"/>
      <c r="J74" s="305"/>
    </row>
    <row r="75" spans="2:10" ht="20.149999999999999" customHeight="1">
      <c r="B75" s="301"/>
      <c r="C75" s="505"/>
      <c r="D75" s="301"/>
      <c r="E75" s="301"/>
      <c r="G75" s="301"/>
      <c r="H75" s="305"/>
      <c r="I75" s="305"/>
      <c r="J75" s="305"/>
    </row>
    <row r="76" spans="2:10" ht="20.149999999999999" customHeight="1">
      <c r="B76" s="301"/>
      <c r="C76" s="505"/>
      <c r="D76" s="301"/>
      <c r="E76" s="301"/>
      <c r="G76" s="301"/>
      <c r="H76" s="305"/>
      <c r="I76" s="305"/>
      <c r="J76" s="305"/>
    </row>
    <row r="77" spans="2:10" ht="20.149999999999999" customHeight="1">
      <c r="B77" s="301"/>
      <c r="C77" s="505"/>
      <c r="D77" s="301"/>
      <c r="E77" s="301"/>
      <c r="G77" s="301"/>
      <c r="H77" s="305"/>
      <c r="I77" s="305"/>
      <c r="J77" s="305"/>
    </row>
    <row r="78" spans="2:10" ht="20.149999999999999" customHeight="1">
      <c r="B78" s="301"/>
      <c r="C78" s="505"/>
      <c r="D78" s="301"/>
      <c r="E78" s="301"/>
      <c r="G78" s="301"/>
      <c r="H78" s="305"/>
      <c r="I78" s="305"/>
      <c r="J78" s="305"/>
    </row>
    <row r="79" spans="2:10" ht="20.149999999999999" customHeight="1">
      <c r="B79" s="301"/>
      <c r="C79" s="505"/>
      <c r="D79" s="301"/>
      <c r="E79" s="301"/>
      <c r="G79" s="301"/>
      <c r="H79" s="305"/>
      <c r="I79" s="305"/>
      <c r="J79" s="305"/>
    </row>
    <row r="80" spans="2:10" ht="20.149999999999999" customHeight="1">
      <c r="B80" s="301"/>
      <c r="C80" s="505"/>
      <c r="D80" s="301"/>
      <c r="E80" s="301"/>
      <c r="G80" s="301"/>
      <c r="H80" s="305"/>
      <c r="I80" s="305"/>
      <c r="J80" s="305"/>
    </row>
    <row r="81" spans="2:10" ht="20.149999999999999" customHeight="1">
      <c r="B81" s="301"/>
      <c r="C81" s="505"/>
      <c r="D81" s="301"/>
      <c r="E81" s="301"/>
      <c r="G81" s="301"/>
      <c r="H81" s="305"/>
      <c r="I81" s="305"/>
      <c r="J81" s="305"/>
    </row>
    <row r="82" spans="2:10" ht="20.149999999999999" customHeight="1">
      <c r="B82" s="301"/>
      <c r="C82" s="505"/>
      <c r="D82" s="301"/>
      <c r="E82" s="301"/>
      <c r="G82" s="301"/>
      <c r="H82" s="305"/>
      <c r="I82" s="305"/>
      <c r="J82" s="305"/>
    </row>
    <row r="83" spans="2:10" ht="20.149999999999999" customHeight="1">
      <c r="B83" s="301"/>
      <c r="C83" s="505"/>
      <c r="D83" s="301"/>
      <c r="E83" s="301"/>
      <c r="G83" s="301"/>
      <c r="H83" s="305"/>
      <c r="I83" s="305"/>
      <c r="J83" s="305"/>
    </row>
    <row r="84" spans="2:10" ht="20.149999999999999" customHeight="1">
      <c r="B84" s="301"/>
      <c r="C84" s="505"/>
      <c r="D84" s="301"/>
      <c r="E84" s="301"/>
      <c r="G84" s="301"/>
      <c r="H84" s="305"/>
      <c r="I84" s="305"/>
      <c r="J84" s="305"/>
    </row>
    <row r="85" spans="2:10" ht="20.149999999999999" customHeight="1">
      <c r="B85" s="301"/>
      <c r="C85" s="505"/>
      <c r="D85" s="301"/>
      <c r="E85" s="301"/>
      <c r="G85" s="301"/>
      <c r="H85" s="305"/>
      <c r="I85" s="305"/>
      <c r="J85" s="305"/>
    </row>
    <row r="86" spans="2:10" ht="20.149999999999999" customHeight="1">
      <c r="B86" s="301"/>
      <c r="C86" s="505"/>
      <c r="D86" s="301"/>
      <c r="E86" s="301"/>
      <c r="G86" s="301"/>
      <c r="H86" s="305"/>
      <c r="I86" s="305"/>
      <c r="J86" s="305"/>
    </row>
    <row r="87" spans="2:10" ht="20.149999999999999" customHeight="1">
      <c r="B87" s="301"/>
      <c r="C87" s="505"/>
      <c r="D87" s="301"/>
      <c r="E87" s="301"/>
      <c r="G87" s="301"/>
      <c r="H87" s="305"/>
      <c r="I87" s="305"/>
      <c r="J87" s="305"/>
    </row>
    <row r="88" spans="2:10" ht="20.149999999999999" customHeight="1">
      <c r="B88" s="301"/>
      <c r="C88" s="505"/>
      <c r="D88" s="301"/>
      <c r="E88" s="301"/>
      <c r="G88" s="301"/>
      <c r="H88" s="305"/>
      <c r="I88" s="305"/>
      <c r="J88" s="305"/>
    </row>
    <row r="89" spans="2:10" ht="20.149999999999999" customHeight="1">
      <c r="B89" s="301"/>
      <c r="C89" s="505"/>
      <c r="D89" s="301"/>
      <c r="E89" s="301"/>
      <c r="G89" s="301"/>
      <c r="H89" s="305"/>
      <c r="I89" s="305"/>
      <c r="J89" s="305"/>
    </row>
    <row r="90" spans="2:10" ht="20.149999999999999" customHeight="1">
      <c r="B90" s="301"/>
      <c r="C90" s="505"/>
      <c r="D90" s="301"/>
      <c r="E90" s="301"/>
      <c r="G90" s="301"/>
      <c r="H90" s="305"/>
      <c r="I90" s="305"/>
      <c r="J90" s="305"/>
    </row>
    <row r="91" spans="2:10" ht="20.149999999999999" customHeight="1">
      <c r="B91" s="301"/>
      <c r="C91" s="505"/>
      <c r="D91" s="301"/>
      <c r="E91" s="301"/>
      <c r="G91" s="301"/>
      <c r="H91" s="305"/>
      <c r="I91" s="305"/>
      <c r="J91" s="305"/>
    </row>
    <row r="92" spans="2:10" ht="20.149999999999999" customHeight="1">
      <c r="B92" s="301"/>
      <c r="C92" s="505"/>
      <c r="D92" s="301"/>
      <c r="E92" s="301"/>
      <c r="G92" s="301"/>
      <c r="H92" s="305"/>
      <c r="I92" s="305"/>
      <c r="J92" s="305"/>
    </row>
    <row r="93" spans="2:10" ht="20.149999999999999" customHeight="1">
      <c r="B93" s="301"/>
      <c r="C93" s="505"/>
      <c r="D93" s="301"/>
      <c r="E93" s="301"/>
      <c r="G93" s="301"/>
      <c r="H93" s="305"/>
      <c r="I93" s="305"/>
      <c r="J93" s="305"/>
    </row>
    <row r="94" spans="2:10" ht="20.149999999999999" customHeight="1">
      <c r="B94" s="301"/>
      <c r="C94" s="505"/>
      <c r="D94" s="301"/>
      <c r="E94" s="301"/>
      <c r="G94" s="301"/>
      <c r="H94" s="305"/>
      <c r="I94" s="305"/>
      <c r="J94" s="305"/>
    </row>
    <row r="95" spans="2:10" ht="20.149999999999999" customHeight="1">
      <c r="B95" s="301"/>
      <c r="C95" s="505"/>
      <c r="D95" s="301"/>
      <c r="E95" s="301"/>
      <c r="G95" s="301"/>
      <c r="H95" s="305"/>
      <c r="I95" s="305"/>
      <c r="J95" s="305"/>
    </row>
    <row r="96" spans="2:10" ht="20.149999999999999" customHeight="1">
      <c r="B96" s="301"/>
      <c r="C96" s="505"/>
      <c r="D96" s="301"/>
      <c r="E96" s="301"/>
      <c r="G96" s="301"/>
      <c r="H96" s="305"/>
      <c r="I96" s="305"/>
      <c r="J96" s="305"/>
    </row>
    <row r="97" spans="2:10" ht="20.149999999999999" customHeight="1">
      <c r="B97" s="301"/>
      <c r="C97" s="505"/>
      <c r="D97" s="301"/>
      <c r="E97" s="301"/>
      <c r="G97" s="301"/>
      <c r="H97" s="305"/>
      <c r="I97" s="305"/>
      <c r="J97" s="305"/>
    </row>
    <row r="98" spans="2:10" ht="20.149999999999999" customHeight="1">
      <c r="B98" s="301"/>
      <c r="C98" s="505"/>
      <c r="D98" s="301"/>
      <c r="E98" s="301"/>
      <c r="G98" s="301"/>
      <c r="H98" s="305"/>
      <c r="I98" s="305"/>
      <c r="J98" s="305"/>
    </row>
    <row r="99" spans="2:10" ht="20.149999999999999" customHeight="1">
      <c r="B99" s="301"/>
      <c r="C99" s="505"/>
      <c r="D99" s="301"/>
      <c r="E99" s="301"/>
      <c r="G99" s="301"/>
      <c r="H99" s="305"/>
      <c r="I99" s="305"/>
      <c r="J99" s="305"/>
    </row>
    <row r="100" spans="2:10" ht="20.149999999999999" customHeight="1">
      <c r="B100" s="301"/>
      <c r="C100" s="505"/>
      <c r="D100" s="301"/>
      <c r="E100" s="301"/>
      <c r="G100" s="301"/>
      <c r="H100" s="305"/>
      <c r="I100" s="305"/>
      <c r="J100" s="305"/>
    </row>
    <row r="101" spans="2:10" ht="20.149999999999999" customHeight="1">
      <c r="B101" s="301"/>
      <c r="C101" s="505"/>
      <c r="D101" s="301"/>
      <c r="E101" s="301"/>
      <c r="G101" s="301"/>
      <c r="H101" s="305"/>
      <c r="I101" s="305"/>
      <c r="J101" s="305"/>
    </row>
    <row r="102" spans="2:10" ht="20.149999999999999" customHeight="1">
      <c r="B102" s="301"/>
      <c r="C102" s="505"/>
      <c r="D102" s="301"/>
      <c r="E102" s="301"/>
      <c r="G102" s="301"/>
      <c r="H102" s="305"/>
      <c r="I102" s="305"/>
      <c r="J102" s="305"/>
    </row>
    <row r="103" spans="2:10" ht="20.149999999999999" customHeight="1">
      <c r="B103" s="301"/>
      <c r="C103" s="505"/>
      <c r="D103" s="301"/>
      <c r="E103" s="301"/>
      <c r="G103" s="301"/>
      <c r="H103" s="305"/>
      <c r="I103" s="305"/>
      <c r="J103" s="305"/>
    </row>
    <row r="104" spans="2:10" ht="20.149999999999999" customHeight="1">
      <c r="B104" s="301"/>
      <c r="C104" s="505"/>
      <c r="D104" s="301"/>
      <c r="E104" s="301"/>
      <c r="G104" s="301"/>
      <c r="H104" s="305"/>
      <c r="I104" s="305"/>
      <c r="J104" s="305"/>
    </row>
    <row r="105" spans="2:10" ht="20.149999999999999" customHeight="1">
      <c r="B105" s="301"/>
      <c r="C105" s="505"/>
      <c r="D105" s="301"/>
      <c r="E105" s="301"/>
      <c r="G105" s="301"/>
      <c r="H105" s="305"/>
      <c r="I105" s="305"/>
      <c r="J105" s="305"/>
    </row>
    <row r="106" spans="2:10" ht="20.149999999999999" customHeight="1">
      <c r="B106" s="301"/>
      <c r="C106" s="505"/>
      <c r="D106" s="301"/>
      <c r="E106" s="301"/>
      <c r="G106" s="301"/>
      <c r="H106" s="305"/>
      <c r="I106" s="305"/>
      <c r="J106" s="305"/>
    </row>
    <row r="107" spans="2:10" ht="20.149999999999999" customHeight="1">
      <c r="B107" s="301"/>
      <c r="C107" s="505"/>
      <c r="D107" s="301"/>
      <c r="E107" s="301"/>
      <c r="G107" s="301"/>
      <c r="H107" s="305"/>
      <c r="I107" s="305"/>
      <c r="J107" s="305"/>
    </row>
    <row r="108" spans="2:10" ht="20.149999999999999" customHeight="1">
      <c r="B108" s="301"/>
      <c r="C108" s="505"/>
      <c r="D108" s="301"/>
      <c r="E108" s="301"/>
      <c r="G108" s="301"/>
      <c r="H108" s="305"/>
      <c r="I108" s="305"/>
      <c r="J108" s="305"/>
    </row>
    <row r="109" spans="2:10" ht="20.149999999999999" customHeight="1">
      <c r="B109" s="301"/>
      <c r="C109" s="505"/>
      <c r="D109" s="301"/>
      <c r="E109" s="301"/>
      <c r="G109" s="301"/>
      <c r="H109" s="305"/>
      <c r="I109" s="305"/>
      <c r="J109" s="305"/>
    </row>
    <row r="110" spans="2:10" ht="20.149999999999999" customHeight="1">
      <c r="B110" s="301"/>
      <c r="C110" s="505"/>
      <c r="D110" s="301"/>
      <c r="E110" s="301"/>
      <c r="G110" s="301"/>
      <c r="H110" s="305"/>
      <c r="I110" s="305"/>
      <c r="J110" s="305"/>
    </row>
    <row r="111" spans="2:10" ht="20.149999999999999" customHeight="1">
      <c r="B111" s="301"/>
      <c r="C111" s="505"/>
      <c r="D111" s="301"/>
      <c r="E111" s="301"/>
      <c r="G111" s="301"/>
      <c r="H111" s="305"/>
      <c r="I111" s="305"/>
      <c r="J111" s="305"/>
    </row>
    <row r="112" spans="2:10" ht="20.149999999999999" customHeight="1">
      <c r="B112" s="301"/>
      <c r="C112" s="505"/>
      <c r="D112" s="301"/>
      <c r="E112" s="301"/>
      <c r="G112" s="301"/>
      <c r="H112" s="305"/>
      <c r="I112" s="305"/>
      <c r="J112" s="305"/>
    </row>
    <row r="113" spans="2:10" ht="20.149999999999999" customHeight="1">
      <c r="B113" s="301"/>
      <c r="C113" s="505"/>
      <c r="D113" s="301"/>
      <c r="E113" s="301"/>
      <c r="G113" s="301"/>
      <c r="H113" s="305"/>
      <c r="I113" s="305"/>
      <c r="J113" s="305"/>
    </row>
    <row r="114" spans="2:10" ht="20.149999999999999" customHeight="1">
      <c r="B114" s="301"/>
      <c r="C114" s="505"/>
      <c r="D114" s="301"/>
      <c r="E114" s="301"/>
      <c r="G114" s="301"/>
      <c r="H114" s="305"/>
      <c r="I114" s="305"/>
      <c r="J114" s="305"/>
    </row>
    <row r="115" spans="2:10" ht="20.149999999999999" customHeight="1">
      <c r="B115" s="301"/>
      <c r="C115" s="505"/>
      <c r="D115" s="301"/>
      <c r="E115" s="301"/>
      <c r="G115" s="301"/>
      <c r="H115" s="305"/>
      <c r="I115" s="305"/>
      <c r="J115" s="305"/>
    </row>
    <row r="116" spans="2:10" ht="20.149999999999999" customHeight="1">
      <c r="B116" s="301"/>
      <c r="C116" s="505"/>
      <c r="D116" s="301"/>
      <c r="E116" s="301"/>
      <c r="G116" s="301"/>
      <c r="H116" s="305"/>
      <c r="I116" s="305"/>
      <c r="J116" s="305"/>
    </row>
    <row r="117" spans="2:10" ht="20.149999999999999" customHeight="1">
      <c r="B117" s="301"/>
      <c r="C117" s="505"/>
      <c r="D117" s="301"/>
      <c r="E117" s="301"/>
      <c r="G117" s="301"/>
      <c r="H117" s="305"/>
      <c r="I117" s="305"/>
      <c r="J117" s="305"/>
    </row>
    <row r="118" spans="2:10" ht="20.149999999999999" customHeight="1">
      <c r="B118" s="301"/>
      <c r="C118" s="505"/>
      <c r="D118" s="301"/>
      <c r="E118" s="301"/>
      <c r="G118" s="301"/>
      <c r="H118" s="305"/>
      <c r="I118" s="305"/>
      <c r="J118" s="305"/>
    </row>
  </sheetData>
  <sheetProtection formatCells="0" formatColumns="0" formatRows="0"/>
  <mergeCells count="4">
    <mergeCell ref="H34:K35"/>
    <mergeCell ref="H14:K16"/>
    <mergeCell ref="D20:D24"/>
    <mergeCell ref="A30:F31"/>
  </mergeCells>
  <pageMargins left="0.23622047244094491" right="0.23622047244094491" top="0.74803149606299213" bottom="0.74803149606299213" header="0.31496062992125984" footer="0.31496062992125984"/>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95"/>
  <sheetViews>
    <sheetView showGridLines="0" zoomScale="60" zoomScaleNormal="60" zoomScaleSheetLayoutView="63" workbookViewId="0">
      <selection activeCell="F24" sqref="F24"/>
    </sheetView>
  </sheetViews>
  <sheetFormatPr defaultColWidth="10.26953125" defaultRowHeight="20.149999999999999" customHeight="1"/>
  <cols>
    <col min="1" max="1" width="6.7265625" style="320" customWidth="1"/>
    <col min="2" max="2" width="20.7265625" style="321" customWidth="1"/>
    <col min="3" max="4" width="14.7265625" style="321" customWidth="1"/>
    <col min="5" max="5" width="14.7265625" style="322" customWidth="1"/>
    <col min="6" max="6" width="20.7265625" style="321" customWidth="1"/>
    <col min="7" max="8" width="14.7265625" style="321" customWidth="1"/>
    <col min="9" max="11" width="14.7265625" style="323" customWidth="1"/>
    <col min="12" max="12" width="11.54296875" style="329" customWidth="1"/>
    <col min="13" max="13" width="10.26953125" style="329"/>
    <col min="14" max="14" width="10.7265625" style="329" customWidth="1"/>
    <col min="15" max="16" width="11.26953125" style="329" bestFit="1" customWidth="1"/>
    <col min="17" max="19" width="10.26953125" style="329"/>
    <col min="20" max="16384" width="10.26953125" style="119"/>
  </cols>
  <sheetData>
    <row r="1" spans="1:28" ht="31.5" customHeight="1">
      <c r="A1" s="765" t="s">
        <v>286</v>
      </c>
      <c r="B1" s="396"/>
      <c r="C1" s="395"/>
      <c r="D1" s="396"/>
      <c r="E1" s="721"/>
      <c r="F1" s="721"/>
      <c r="G1" s="721"/>
      <c r="H1" s="721"/>
      <c r="I1" s="520"/>
      <c r="J1" s="520"/>
      <c r="K1" s="722"/>
      <c r="L1" s="897"/>
      <c r="M1" s="756"/>
      <c r="N1" s="756"/>
      <c r="O1" s="756"/>
      <c r="P1" s="756"/>
      <c r="Q1" s="756"/>
      <c r="T1" s="329"/>
      <c r="U1" s="329"/>
      <c r="V1" s="329"/>
      <c r="W1" s="329"/>
      <c r="X1" s="329"/>
      <c r="Y1" s="329"/>
      <c r="Z1" s="329"/>
      <c r="AA1" s="329"/>
      <c r="AB1" s="329"/>
    </row>
    <row r="2" spans="1:28" ht="5.15" customHeight="1">
      <c r="A2" s="397"/>
      <c r="B2" s="398"/>
      <c r="C2" s="398"/>
      <c r="D2" s="398"/>
      <c r="E2" s="723"/>
      <c r="F2" s="724"/>
      <c r="G2" s="724"/>
      <c r="H2" s="724"/>
      <c r="I2" s="724"/>
      <c r="J2" s="724"/>
      <c r="K2" s="724"/>
      <c r="L2" s="897"/>
      <c r="M2" s="756"/>
      <c r="N2" s="756"/>
      <c r="O2" s="756"/>
      <c r="P2" s="756"/>
      <c r="Q2" s="756"/>
      <c r="T2" s="329"/>
      <c r="U2" s="329"/>
      <c r="V2" s="329"/>
      <c r="W2" s="329"/>
      <c r="X2" s="329"/>
      <c r="Y2" s="329"/>
      <c r="Z2" s="329"/>
      <c r="AA2" s="329"/>
      <c r="AB2" s="329"/>
    </row>
    <row r="3" spans="1:28" ht="20.149999999999999" customHeight="1">
      <c r="A3" s="47"/>
      <c r="B3" s="52"/>
      <c r="C3" s="216"/>
      <c r="D3" s="48" t="s">
        <v>90</v>
      </c>
      <c r="E3" s="521"/>
      <c r="F3" s="521"/>
      <c r="G3" s="129"/>
      <c r="H3" s="520" t="s">
        <v>80</v>
      </c>
      <c r="I3" s="520"/>
      <c r="J3" s="520"/>
      <c r="K3" s="520"/>
      <c r="L3" s="898"/>
      <c r="M3" s="756"/>
      <c r="N3" s="756"/>
      <c r="O3" s="756"/>
      <c r="P3" s="756"/>
      <c r="Q3" s="756"/>
      <c r="T3" s="329"/>
      <c r="U3" s="329"/>
      <c r="V3" s="329"/>
      <c r="W3" s="329"/>
      <c r="X3" s="329"/>
      <c r="Y3" s="329"/>
      <c r="Z3" s="329"/>
      <c r="AA3" s="329"/>
      <c r="AB3" s="329"/>
    </row>
    <row r="4" spans="1:28" s="306" customFormat="1" ht="5.15" customHeight="1">
      <c r="A4" s="187"/>
      <c r="B4" s="140"/>
      <c r="C4" s="142"/>
      <c r="D4" s="142"/>
      <c r="E4" s="698"/>
      <c r="F4" s="698"/>
      <c r="G4" s="698"/>
      <c r="H4" s="715"/>
      <c r="I4" s="698"/>
      <c r="J4" s="698"/>
      <c r="K4" s="698"/>
      <c r="L4" s="899"/>
      <c r="M4" s="900"/>
      <c r="N4" s="900"/>
      <c r="O4" s="900"/>
      <c r="P4" s="900"/>
      <c r="Q4" s="900"/>
      <c r="R4" s="307"/>
      <c r="S4" s="307"/>
      <c r="T4" s="307"/>
      <c r="U4" s="307"/>
      <c r="V4" s="307"/>
      <c r="W4" s="307"/>
      <c r="X4" s="307"/>
      <c r="Y4" s="307"/>
      <c r="Z4" s="307"/>
      <c r="AA4" s="307"/>
      <c r="AB4" s="307"/>
    </row>
    <row r="5" spans="1:28" s="306" customFormat="1" ht="18">
      <c r="A5" s="187"/>
      <c r="B5" s="134" t="s">
        <v>91</v>
      </c>
      <c r="C5" s="738" t="str">
        <f>'Hydraulic Perf. (Results)'!C4</f>
        <v xml:space="preserve"> </v>
      </c>
      <c r="D5" s="737"/>
      <c r="E5" s="188"/>
      <c r="F5" s="188"/>
      <c r="G5" s="189"/>
      <c r="H5" s="735" t="s">
        <v>92</v>
      </c>
      <c r="I5" s="1298">
        <f>RefNumb</f>
        <v>0</v>
      </c>
      <c r="J5" s="1299"/>
      <c r="K5" s="698"/>
      <c r="L5" s="899"/>
      <c r="M5" s="900"/>
      <c r="N5" s="900"/>
      <c r="O5" s="900"/>
      <c r="P5" s="900"/>
      <c r="Q5" s="900"/>
      <c r="R5" s="307"/>
      <c r="S5" s="307"/>
      <c r="T5" s="307"/>
      <c r="U5" s="307"/>
      <c r="V5" s="307"/>
      <c r="W5" s="307"/>
      <c r="X5" s="307"/>
      <c r="Y5" s="307"/>
      <c r="Z5" s="307"/>
      <c r="AA5" s="307"/>
      <c r="AB5" s="307"/>
    </row>
    <row r="6" spans="1:28" s="306" customFormat="1" ht="5.15" customHeight="1">
      <c r="A6" s="187"/>
      <c r="B6" s="134"/>
      <c r="C6" s="190"/>
      <c r="D6" s="145"/>
      <c r="E6" s="562"/>
      <c r="F6" s="562"/>
      <c r="G6" s="698"/>
      <c r="H6" s="706"/>
      <c r="I6" s="725"/>
      <c r="J6" s="725"/>
      <c r="K6" s="698"/>
      <c r="L6" s="899"/>
      <c r="M6" s="900"/>
      <c r="N6" s="900"/>
      <c r="O6" s="900"/>
      <c r="P6" s="900"/>
      <c r="Q6" s="900"/>
      <c r="R6" s="307"/>
      <c r="S6" s="307"/>
      <c r="T6" s="307"/>
      <c r="U6" s="307"/>
      <c r="V6" s="307"/>
      <c r="W6" s="307"/>
      <c r="X6" s="307"/>
      <c r="Y6" s="307"/>
      <c r="Z6" s="307"/>
      <c r="AA6" s="307"/>
      <c r="AB6" s="307"/>
    </row>
    <row r="7" spans="1:28" s="306" customFormat="1" ht="18">
      <c r="A7" s="187"/>
      <c r="B7" s="134" t="s">
        <v>93</v>
      </c>
      <c r="C7" s="1297">
        <f ca="1">'Hydraulic Perf. (Results)'!C6</f>
        <v>43321</v>
      </c>
      <c r="D7" s="1280"/>
      <c r="E7" s="562"/>
      <c r="F7" s="562"/>
      <c r="G7" s="698"/>
      <c r="H7" s="190"/>
      <c r="I7" s="190"/>
      <c r="J7" s="190"/>
      <c r="K7" s="698"/>
      <c r="L7" s="899"/>
      <c r="M7" s="900"/>
      <c r="N7" s="900"/>
      <c r="O7" s="900"/>
      <c r="P7" s="900"/>
      <c r="Q7" s="900"/>
      <c r="R7" s="307"/>
      <c r="S7" s="307"/>
      <c r="T7" s="307"/>
      <c r="U7" s="307"/>
      <c r="V7" s="307"/>
      <c r="W7" s="307"/>
      <c r="X7" s="307"/>
      <c r="Y7" s="307"/>
      <c r="Z7" s="307"/>
      <c r="AA7" s="307"/>
      <c r="AB7" s="307"/>
    </row>
    <row r="8" spans="1:28" s="306" customFormat="1" ht="6.75" customHeight="1">
      <c r="A8" s="399"/>
      <c r="B8" s="142"/>
      <c r="C8" s="142"/>
      <c r="D8" s="142"/>
      <c r="E8" s="698"/>
      <c r="F8" s="698"/>
      <c r="G8" s="698"/>
      <c r="H8" s="715"/>
      <c r="I8" s="698"/>
      <c r="J8" s="698"/>
      <c r="K8" s="698"/>
      <c r="L8" s="899"/>
      <c r="M8" s="900"/>
      <c r="N8" s="900"/>
      <c r="O8" s="900"/>
      <c r="P8" s="900"/>
      <c r="Q8" s="900"/>
      <c r="R8" s="307"/>
      <c r="S8" s="307"/>
      <c r="T8" s="307"/>
      <c r="U8" s="307"/>
      <c r="V8" s="307"/>
      <c r="W8" s="307"/>
      <c r="X8" s="307"/>
      <c r="Y8" s="307"/>
      <c r="Z8" s="307"/>
      <c r="AA8" s="307"/>
      <c r="AB8" s="307"/>
    </row>
    <row r="9" spans="1:28" s="301" customFormat="1" ht="17.5">
      <c r="A9" s="400"/>
      <c r="B9" s="748" t="s">
        <v>191</v>
      </c>
      <c r="C9" s="812" t="str">
        <f>IF(IT=1,"Francis turbine",IF(IT=2,"Pump-turbine (Turbine mode)",IF(IT=3,"Pump-turbine (Pump mode)", IF(IT=4,"Axial flow machines","???"))))</f>
        <v>Pump-turbine (Turbine mode)</v>
      </c>
      <c r="D9" s="196"/>
      <c r="E9" s="813"/>
      <c r="F9" s="163"/>
      <c r="G9" s="163"/>
      <c r="H9" s="563" t="str">
        <f>IF(Ic=3,"Conversion of the Optimum Point","Step "&amp;Ic&amp;" of the '2 step Method'")</f>
        <v>Step 1 of the '2 step Method'</v>
      </c>
      <c r="I9" s="570"/>
      <c r="J9" s="560"/>
      <c r="K9" s="727"/>
      <c r="L9" s="901"/>
      <c r="M9" s="312"/>
      <c r="N9" s="312"/>
      <c r="O9" s="312"/>
      <c r="P9" s="312"/>
      <c r="Q9" s="312"/>
      <c r="R9" s="305"/>
      <c r="S9" s="305"/>
      <c r="T9" s="305"/>
      <c r="U9" s="305"/>
      <c r="V9" s="305"/>
      <c r="W9" s="305"/>
      <c r="X9" s="305"/>
      <c r="Y9" s="305"/>
      <c r="Z9" s="305"/>
      <c r="AA9" s="305"/>
      <c r="AB9" s="305"/>
    </row>
    <row r="10" spans="1:28" s="301" customFormat="1" ht="5.15" customHeight="1">
      <c r="A10" s="400"/>
      <c r="B10" s="151"/>
      <c r="C10" s="154"/>
      <c r="D10" s="151"/>
      <c r="E10" s="728"/>
      <c r="F10" s="729"/>
      <c r="G10" s="726"/>
      <c r="H10" s="730"/>
      <c r="I10" s="726"/>
      <c r="J10" s="726"/>
      <c r="K10" s="727"/>
      <c r="L10" s="901"/>
      <c r="M10" s="312"/>
      <c r="N10" s="312"/>
      <c r="O10" s="312"/>
      <c r="P10" s="312"/>
      <c r="Q10" s="312"/>
      <c r="R10" s="305"/>
      <c r="S10" s="305"/>
      <c r="T10" s="305"/>
      <c r="U10" s="305"/>
      <c r="V10" s="305"/>
      <c r="W10" s="305"/>
      <c r="X10" s="305"/>
      <c r="Y10" s="305"/>
      <c r="Z10" s="305"/>
      <c r="AA10" s="305"/>
      <c r="AB10" s="305"/>
    </row>
    <row r="11" spans="1:28" ht="20.149999999999999" customHeight="1">
      <c r="A11" s="47"/>
      <c r="B11" s="130" t="s">
        <v>29</v>
      </c>
      <c r="C11" s="132"/>
      <c r="D11" s="133"/>
      <c r="E11" s="404"/>
      <c r="F11" s="131"/>
      <c r="G11" s="520"/>
      <c r="H11" s="520"/>
      <c r="I11" s="520"/>
      <c r="J11" s="520"/>
      <c r="K11" s="520"/>
      <c r="L11" s="902"/>
      <c r="M11" s="756"/>
      <c r="N11" s="756"/>
      <c r="O11" s="756"/>
      <c r="P11" s="756"/>
      <c r="Q11" s="756"/>
      <c r="T11" s="329"/>
      <c r="U11" s="329"/>
      <c r="V11" s="329"/>
      <c r="W11" s="329"/>
      <c r="X11" s="329"/>
      <c r="Y11" s="329"/>
      <c r="Z11" s="329"/>
      <c r="AA11" s="329"/>
      <c r="AB11" s="329"/>
    </row>
    <row r="12" spans="1:28" ht="20.149999999999999" customHeight="1">
      <c r="A12" s="54"/>
      <c r="B12" s="131"/>
      <c r="C12" s="758" t="s">
        <v>30</v>
      </c>
      <c r="D12" s="759">
        <f>Ic</f>
        <v>1</v>
      </c>
      <c r="E12" s="404"/>
      <c r="F12" s="521"/>
      <c r="G12" s="521"/>
      <c r="H12" s="521"/>
      <c r="I12" s="520"/>
      <c r="J12" s="520"/>
      <c r="K12" s="520"/>
      <c r="L12" s="898"/>
      <c r="M12" s="756"/>
      <c r="N12" s="756"/>
      <c r="O12" s="756"/>
      <c r="P12" s="756"/>
      <c r="Q12" s="756"/>
      <c r="T12" s="329"/>
      <c r="U12" s="329"/>
      <c r="V12" s="329"/>
      <c r="W12" s="329"/>
      <c r="X12" s="329"/>
      <c r="Y12" s="329"/>
      <c r="Z12" s="329"/>
      <c r="AA12" s="329"/>
      <c r="AB12" s="329"/>
    </row>
    <row r="13" spans="1:28" ht="8.25" customHeight="1">
      <c r="A13" s="401"/>
      <c r="B13" s="131"/>
      <c r="C13" s="402"/>
      <c r="D13" s="403"/>
      <c r="E13" s="404"/>
      <c r="F13" s="405"/>
      <c r="G13" s="406"/>
      <c r="H13" s="406"/>
      <c r="I13" s="520"/>
      <c r="J13" s="520"/>
      <c r="K13" s="520"/>
      <c r="L13" s="898"/>
      <c r="M13" s="756"/>
      <c r="N13" s="756"/>
      <c r="O13" s="756"/>
      <c r="P13" s="756"/>
      <c r="Q13" s="756"/>
      <c r="T13" s="329"/>
      <c r="U13" s="329"/>
      <c r="V13" s="329"/>
      <c r="W13" s="329"/>
      <c r="X13" s="329"/>
      <c r="Y13" s="329"/>
      <c r="Z13" s="329"/>
      <c r="AA13" s="329"/>
      <c r="AB13" s="329"/>
    </row>
    <row r="14" spans="1:28" s="326" customFormat="1" ht="19.5">
      <c r="A14" s="64"/>
      <c r="C14" s="871" t="s">
        <v>466</v>
      </c>
      <c r="D14" s="408" t="e">
        <f>'Specific Energy Eff.'!D54</f>
        <v>#DIV/0!</v>
      </c>
      <c r="E14" s="256"/>
      <c r="F14" s="256"/>
      <c r="G14" s="256"/>
      <c r="H14" s="256"/>
      <c r="I14" s="256"/>
      <c r="J14" s="256"/>
      <c r="K14" s="256"/>
      <c r="L14" s="903"/>
      <c r="M14" s="904"/>
      <c r="N14" s="904"/>
      <c r="O14" s="904"/>
      <c r="P14" s="904"/>
      <c r="Q14" s="904"/>
      <c r="R14" s="905"/>
      <c r="S14" s="905"/>
      <c r="T14" s="905"/>
      <c r="U14" s="905"/>
      <c r="V14" s="905"/>
      <c r="W14" s="905"/>
      <c r="X14" s="905"/>
      <c r="Y14" s="905"/>
      <c r="Z14" s="905"/>
      <c r="AA14" s="905"/>
      <c r="AB14" s="905"/>
    </row>
    <row r="15" spans="1:28" ht="22.5" customHeight="1">
      <c r="A15" s="54" t="s">
        <v>94</v>
      </c>
      <c r="B15" s="63" t="s">
        <v>95</v>
      </c>
      <c r="C15" s="48"/>
      <c r="D15" s="49"/>
      <c r="E15" s="520"/>
      <c r="F15" s="520"/>
      <c r="G15" s="520"/>
      <c r="H15" s="520"/>
      <c r="I15" s="520"/>
      <c r="J15" s="520"/>
      <c r="K15" s="520"/>
      <c r="L15" s="906"/>
      <c r="M15" s="756"/>
      <c r="N15" s="756"/>
      <c r="O15" s="756"/>
      <c r="P15" s="756"/>
      <c r="Q15" s="756"/>
      <c r="T15" s="329"/>
      <c r="U15" s="329"/>
      <c r="V15" s="329"/>
      <c r="W15" s="329"/>
      <c r="X15" s="329"/>
      <c r="Y15" s="329"/>
      <c r="Z15" s="329"/>
      <c r="AA15" s="329"/>
      <c r="AB15" s="329"/>
    </row>
    <row r="16" spans="1:28" ht="14">
      <c r="A16" s="54" t="s">
        <v>21</v>
      </c>
      <c r="B16" s="63" t="s">
        <v>96</v>
      </c>
      <c r="C16" s="63" t="str">
        <f>IF(Ic=2,"= REFERENCE MODEL","= TESTED MODEL")</f>
        <v>= TESTED MODEL</v>
      </c>
      <c r="D16" s="48"/>
      <c r="E16" s="523"/>
      <c r="F16" s="520"/>
      <c r="G16" s="520"/>
      <c r="H16" s="520"/>
      <c r="I16" s="520"/>
      <c r="J16" s="520"/>
      <c r="K16" s="520"/>
      <c r="L16" s="898"/>
      <c r="M16" s="756"/>
      <c r="N16" s="756"/>
      <c r="O16" s="756"/>
      <c r="P16" s="756"/>
      <c r="Q16" s="756"/>
      <c r="T16" s="329"/>
      <c r="U16" s="329"/>
      <c r="V16" s="329"/>
      <c r="W16" s="329"/>
      <c r="X16" s="329"/>
      <c r="Y16" s="329"/>
      <c r="Z16" s="329"/>
      <c r="AA16" s="329"/>
      <c r="AB16" s="329"/>
    </row>
    <row r="17" spans="1:28" ht="14">
      <c r="A17" s="54" t="s">
        <v>97</v>
      </c>
      <c r="B17" s="69" t="s">
        <v>232</v>
      </c>
      <c r="C17" s="49"/>
      <c r="D17" s="49"/>
      <c r="E17" s="523"/>
      <c r="F17" s="520"/>
      <c r="G17" s="520"/>
      <c r="H17" s="520"/>
      <c r="I17" s="520"/>
      <c r="J17" s="520"/>
      <c r="K17" s="520"/>
      <c r="L17" s="898"/>
      <c r="M17" s="756"/>
      <c r="N17" s="756"/>
      <c r="O17" s="756"/>
      <c r="P17" s="756"/>
      <c r="Q17" s="756"/>
      <c r="T17" s="329"/>
      <c r="U17" s="329"/>
      <c r="V17" s="329"/>
      <c r="W17" s="329"/>
      <c r="X17" s="329"/>
      <c r="Y17" s="329"/>
      <c r="Z17" s="329"/>
      <c r="AA17" s="329"/>
      <c r="AB17" s="329"/>
    </row>
    <row r="18" spans="1:28" ht="19.5" customHeight="1">
      <c r="A18" s="47"/>
      <c r="B18" s="851" t="s">
        <v>421</v>
      </c>
      <c r="C18" s="368" t="s">
        <v>37</v>
      </c>
      <c r="D18" s="409">
        <f>DA</f>
        <v>0</v>
      </c>
      <c r="E18" s="523"/>
      <c r="F18" s="520"/>
      <c r="G18" s="520"/>
      <c r="H18" s="520"/>
      <c r="I18" s="520"/>
      <c r="J18" s="520"/>
      <c r="K18" s="520"/>
      <c r="L18" s="898"/>
      <c r="M18" s="756"/>
      <c r="N18" s="756"/>
      <c r="O18" s="756"/>
      <c r="P18" s="756"/>
      <c r="Q18" s="756"/>
      <c r="T18" s="329"/>
      <c r="U18" s="329"/>
      <c r="V18" s="329"/>
      <c r="W18" s="329"/>
      <c r="X18" s="329"/>
      <c r="Y18" s="329"/>
      <c r="Z18" s="329"/>
      <c r="AA18" s="329"/>
      <c r="AB18" s="329"/>
    </row>
    <row r="19" spans="1:28" ht="5.15" customHeight="1">
      <c r="A19" s="47"/>
      <c r="B19" s="410"/>
      <c r="C19" s="48"/>
      <c r="D19" s="48"/>
      <c r="E19" s="523"/>
      <c r="F19" s="520"/>
      <c r="G19" s="520"/>
      <c r="H19" s="520"/>
      <c r="I19" s="520"/>
      <c r="J19" s="520"/>
      <c r="K19" s="520"/>
      <c r="L19" s="898"/>
      <c r="M19" s="756"/>
      <c r="N19" s="756"/>
      <c r="O19" s="756"/>
      <c r="P19" s="756"/>
      <c r="Q19" s="756"/>
      <c r="T19" s="329"/>
      <c r="U19" s="329"/>
      <c r="V19" s="329"/>
      <c r="W19" s="329"/>
      <c r="X19" s="329"/>
      <c r="Y19" s="329"/>
      <c r="Z19" s="329"/>
      <c r="AA19" s="329"/>
      <c r="AB19" s="329"/>
    </row>
    <row r="20" spans="1:28" ht="20.149999999999999" customHeight="1">
      <c r="A20" s="54" t="s">
        <v>98</v>
      </c>
      <c r="B20" s="63" t="s">
        <v>99</v>
      </c>
      <c r="C20" s="48"/>
      <c r="D20" s="48"/>
      <c r="E20" s="401" t="s">
        <v>100</v>
      </c>
      <c r="F20" s="522" t="str">
        <f>IF(Ic=3,"Table not used for the normalization of the optimum point","Data of the individual test point")</f>
        <v>Data of the individual test point</v>
      </c>
      <c r="G20" s="520"/>
      <c r="H20" s="520"/>
      <c r="I20" s="520"/>
      <c r="J20" s="520"/>
      <c r="K20" s="520"/>
      <c r="L20" s="898"/>
      <c r="M20" s="756"/>
      <c r="N20" s="756"/>
      <c r="O20" s="756"/>
      <c r="P20" s="756"/>
      <c r="Q20" s="756"/>
      <c r="T20" s="329"/>
      <c r="U20" s="329"/>
      <c r="V20" s="329"/>
      <c r="W20" s="329"/>
      <c r="X20" s="329"/>
      <c r="Y20" s="329"/>
      <c r="Z20" s="329"/>
      <c r="AA20" s="329"/>
      <c r="AB20" s="329"/>
    </row>
    <row r="21" spans="1:28" ht="20.149999999999999" customHeight="1">
      <c r="A21" s="47"/>
      <c r="B21" s="851" t="s">
        <v>424</v>
      </c>
      <c r="C21" s="369" t="s">
        <v>101</v>
      </c>
      <c r="D21" s="409">
        <f>IF(IT&lt;&gt;3,'Input Form'!D22, 'Input Form'!I22)</f>
        <v>0</v>
      </c>
      <c r="E21" s="731"/>
      <c r="F21" s="852" t="s">
        <v>430</v>
      </c>
      <c r="G21" s="610" t="s">
        <v>101</v>
      </c>
      <c r="H21" s="411">
        <f>IF(Ic=3, "-",nAi)</f>
        <v>0</v>
      </c>
      <c r="I21" s="520"/>
      <c r="J21" s="520"/>
      <c r="K21" s="520"/>
      <c r="L21" s="898"/>
      <c r="M21" s="907"/>
      <c r="N21" s="756"/>
      <c r="O21" s="756"/>
      <c r="P21" s="756"/>
      <c r="Q21" s="756"/>
      <c r="T21" s="329"/>
      <c r="U21" s="329"/>
      <c r="V21" s="329"/>
      <c r="W21" s="329"/>
      <c r="X21" s="329"/>
      <c r="Y21" s="329"/>
      <c r="Z21" s="329"/>
      <c r="AA21" s="329"/>
      <c r="AB21" s="329"/>
    </row>
    <row r="22" spans="1:28" ht="20.149999999999999" customHeight="1">
      <c r="A22" s="47"/>
      <c r="B22" s="851" t="s">
        <v>425</v>
      </c>
      <c r="C22" s="369" t="s">
        <v>39</v>
      </c>
      <c r="D22" s="409">
        <f>IF(IT&lt;&gt;3, 'Input Form'!D23, 'Input Form'!I23)</f>
        <v>0</v>
      </c>
      <c r="E22" s="731"/>
      <c r="F22" s="852" t="s">
        <v>431</v>
      </c>
      <c r="G22" s="610" t="s">
        <v>39</v>
      </c>
      <c r="H22" s="411">
        <f>IF(Ic=3,"-",Q1Ai)</f>
        <v>0</v>
      </c>
      <c r="I22" s="520"/>
      <c r="J22" s="520"/>
      <c r="K22" s="520"/>
      <c r="L22" s="898"/>
      <c r="M22" s="907"/>
      <c r="N22" s="756"/>
      <c r="O22" s="756"/>
      <c r="P22" s="756"/>
      <c r="Q22" s="756"/>
      <c r="T22" s="329"/>
      <c r="U22" s="329"/>
      <c r="V22" s="329"/>
      <c r="W22" s="329"/>
      <c r="X22" s="329"/>
      <c r="Y22" s="329"/>
      <c r="Z22" s="329"/>
      <c r="AA22" s="329"/>
      <c r="AB22" s="329"/>
    </row>
    <row r="23" spans="1:28" ht="20.149999999999999" customHeight="1">
      <c r="A23" s="47"/>
      <c r="B23" s="852" t="s">
        <v>426</v>
      </c>
      <c r="C23" s="368" t="s">
        <v>40</v>
      </c>
      <c r="D23" s="409">
        <f>IF(IT&lt;&gt;3, 'Input Form'!D24, 'Input Form'!I24)</f>
        <v>0</v>
      </c>
      <c r="E23" s="731"/>
      <c r="F23" s="852" t="s">
        <v>432</v>
      </c>
      <c r="G23" s="368" t="s">
        <v>40</v>
      </c>
      <c r="H23" s="411">
        <f>IF(Ic=3, "-",EAi)</f>
        <v>0</v>
      </c>
      <c r="I23" s="520"/>
      <c r="J23" s="520"/>
      <c r="K23" s="520"/>
      <c r="L23" s="898"/>
      <c r="M23" s="907"/>
      <c r="N23" s="756"/>
      <c r="O23" s="756"/>
      <c r="P23" s="756"/>
      <c r="Q23" s="756"/>
      <c r="T23" s="329"/>
      <c r="U23" s="329"/>
      <c r="V23" s="329"/>
      <c r="W23" s="329"/>
      <c r="X23" s="329"/>
      <c r="Y23" s="329"/>
      <c r="Z23" s="329"/>
      <c r="AA23" s="329"/>
      <c r="AB23" s="329"/>
    </row>
    <row r="24" spans="1:28" ht="20.149999999999999" customHeight="1">
      <c r="A24" s="47"/>
      <c r="B24" s="852" t="s">
        <v>427</v>
      </c>
      <c r="C24" s="368" t="s">
        <v>41</v>
      </c>
      <c r="D24" s="409">
        <f>IF(IT&lt;&gt;3,'Input Form'!D25, 'Input Form'!I25)</f>
        <v>0</v>
      </c>
      <c r="E24" s="731"/>
      <c r="F24" s="852" t="s">
        <v>433</v>
      </c>
      <c r="G24" s="368" t="s">
        <v>102</v>
      </c>
      <c r="H24" s="411">
        <f>IF(Ic=3, "-",EtaAi)</f>
        <v>0</v>
      </c>
      <c r="I24" s="520"/>
      <c r="J24" s="520"/>
      <c r="K24" s="520"/>
      <c r="L24" s="898"/>
      <c r="M24" s="907"/>
      <c r="N24" s="756"/>
      <c r="O24" s="756"/>
      <c r="P24" s="756"/>
      <c r="Q24" s="756"/>
      <c r="T24" s="329"/>
      <c r="U24" s="329"/>
      <c r="V24" s="329"/>
      <c r="W24" s="329"/>
      <c r="X24" s="329"/>
      <c r="Y24" s="329"/>
      <c r="Z24" s="329"/>
      <c r="AA24" s="329"/>
      <c r="AB24" s="329"/>
    </row>
    <row r="25" spans="1:28" ht="20.149999999999999" customHeight="1">
      <c r="A25" s="47"/>
      <c r="B25" s="852" t="s">
        <v>428</v>
      </c>
      <c r="C25" s="368" t="s">
        <v>42</v>
      </c>
      <c r="D25" s="409">
        <f>IF(IT&lt;&gt;3,'Input Form'!D26,'Input Form'!I26)</f>
        <v>0</v>
      </c>
      <c r="E25" s="731"/>
      <c r="F25" s="852" t="s">
        <v>434</v>
      </c>
      <c r="G25" s="368" t="s">
        <v>42</v>
      </c>
      <c r="H25" s="411">
        <f>IF(Ic=3,"-",twAi)</f>
        <v>0</v>
      </c>
      <c r="I25" s="520"/>
      <c r="J25" s="520"/>
      <c r="K25" s="520"/>
      <c r="L25" s="898"/>
      <c r="M25" s="756"/>
      <c r="N25" s="756"/>
      <c r="O25" s="756"/>
      <c r="P25" s="756"/>
      <c r="Q25" s="756"/>
      <c r="T25" s="329"/>
      <c r="U25" s="329"/>
      <c r="V25" s="329"/>
      <c r="W25" s="329"/>
      <c r="X25" s="329"/>
      <c r="Y25" s="329"/>
      <c r="Z25" s="329"/>
      <c r="AA25" s="329"/>
      <c r="AB25" s="329"/>
    </row>
    <row r="26" spans="1:28" ht="20.149999999999999" customHeight="1">
      <c r="A26" s="47"/>
      <c r="B26" s="853" t="s">
        <v>429</v>
      </c>
      <c r="C26" s="369" t="s">
        <v>82</v>
      </c>
      <c r="D26" s="412">
        <f>EXP(-16.921+396.13/(107.41+D25))</f>
        <v>1.7905600238274961E-6</v>
      </c>
      <c r="E26" s="731"/>
      <c r="F26" s="853" t="s">
        <v>435</v>
      </c>
      <c r="G26" s="610" t="s">
        <v>82</v>
      </c>
      <c r="H26" s="413">
        <f>IF(Ic=3, "-",EXP(-16.921+396.13/(107.41+H25)))</f>
        <v>1.7905600238274961E-6</v>
      </c>
      <c r="I26" s="520" t="s">
        <v>103</v>
      </c>
      <c r="J26" s="520"/>
      <c r="K26" s="520"/>
      <c r="L26" s="898"/>
      <c r="M26" s="756"/>
      <c r="N26" s="756"/>
      <c r="O26" s="756"/>
      <c r="P26" s="756"/>
      <c r="Q26" s="756"/>
      <c r="T26" s="329"/>
      <c r="U26" s="329"/>
      <c r="V26" s="329"/>
      <c r="W26" s="329"/>
      <c r="X26" s="329"/>
      <c r="Y26" s="329"/>
      <c r="Z26" s="329"/>
      <c r="AA26" s="329"/>
      <c r="AB26" s="329"/>
    </row>
    <row r="27" spans="1:28" ht="5.15" customHeight="1">
      <c r="A27" s="47"/>
      <c r="B27" s="49"/>
      <c r="C27" s="49"/>
      <c r="D27" s="80"/>
      <c r="E27" s="731"/>
      <c r="F27" s="414"/>
      <c r="G27" s="523"/>
      <c r="H27" s="415"/>
      <c r="I27" s="520"/>
      <c r="J27" s="520"/>
      <c r="K27" s="520"/>
      <c r="L27" s="898"/>
      <c r="M27" s="756"/>
      <c r="N27" s="756"/>
      <c r="O27" s="756"/>
      <c r="P27" s="756"/>
      <c r="Q27" s="756"/>
      <c r="T27" s="329"/>
      <c r="U27" s="329"/>
      <c r="V27" s="329"/>
      <c r="W27" s="329"/>
      <c r="X27" s="329"/>
      <c r="Y27" s="329"/>
      <c r="Z27" s="329"/>
      <c r="AA27" s="329"/>
      <c r="AB27" s="329"/>
    </row>
    <row r="28" spans="1:28" ht="15.75" customHeight="1">
      <c r="A28" s="54" t="s">
        <v>104</v>
      </c>
      <c r="B28" s="416" t="s">
        <v>230</v>
      </c>
      <c r="C28" s="417"/>
      <c r="D28" s="417"/>
      <c r="E28" s="401"/>
      <c r="F28" s="520"/>
      <c r="G28" s="520"/>
      <c r="H28" s="520"/>
      <c r="I28" s="520"/>
      <c r="J28" s="520"/>
      <c r="K28" s="520"/>
      <c r="L28" s="898"/>
      <c r="M28" s="756"/>
      <c r="N28" s="756"/>
      <c r="O28" s="756"/>
      <c r="P28" s="756"/>
      <c r="Q28" s="756"/>
      <c r="T28" s="329"/>
      <c r="U28" s="329"/>
      <c r="V28" s="329"/>
      <c r="W28" s="329"/>
      <c r="X28" s="329"/>
      <c r="Y28" s="329"/>
      <c r="Z28" s="329"/>
      <c r="AA28" s="329"/>
      <c r="AB28" s="329"/>
    </row>
    <row r="29" spans="1:28" ht="20.149999999999999" customHeight="1">
      <c r="A29" s="47"/>
      <c r="B29" s="854" t="s">
        <v>436</v>
      </c>
      <c r="C29" s="370" t="s">
        <v>46</v>
      </c>
      <c r="D29" s="418">
        <f>RaSPA</f>
        <v>0</v>
      </c>
      <c r="E29" s="523"/>
      <c r="F29" s="528"/>
      <c r="G29" s="520"/>
      <c r="H29" s="520"/>
      <c r="I29" s="520"/>
      <c r="J29" s="520"/>
      <c r="K29" s="520"/>
      <c r="L29" s="898"/>
      <c r="M29" s="756"/>
      <c r="N29" s="756"/>
      <c r="O29" s="756"/>
      <c r="P29" s="756"/>
      <c r="Q29" s="756"/>
      <c r="T29" s="329"/>
      <c r="U29" s="329"/>
      <c r="V29" s="329"/>
      <c r="W29" s="329"/>
      <c r="X29" s="329"/>
      <c r="Y29" s="329"/>
      <c r="Z29" s="329"/>
      <c r="AA29" s="329"/>
      <c r="AB29" s="329"/>
    </row>
    <row r="30" spans="1:28" ht="20.149999999999999" customHeight="1">
      <c r="A30" s="47"/>
      <c r="B30" s="854" t="s">
        <v>437</v>
      </c>
      <c r="C30" s="370" t="s">
        <v>46</v>
      </c>
      <c r="D30" s="418">
        <f>RaSVA</f>
        <v>0</v>
      </c>
      <c r="E30" s="523"/>
      <c r="F30" s="528"/>
      <c r="G30" s="520"/>
      <c r="H30" s="520"/>
      <c r="I30" s="520"/>
      <c r="J30" s="520"/>
      <c r="K30" s="520"/>
      <c r="L30" s="898"/>
      <c r="M30" s="756"/>
      <c r="N30" s="756"/>
      <c r="O30" s="756"/>
      <c r="P30" s="756"/>
      <c r="Q30" s="756"/>
      <c r="T30" s="329"/>
      <c r="U30" s="329"/>
      <c r="V30" s="329"/>
      <c r="W30" s="329"/>
      <c r="X30" s="329"/>
      <c r="Y30" s="329"/>
      <c r="Z30" s="329"/>
      <c r="AA30" s="329"/>
      <c r="AB30" s="329"/>
    </row>
    <row r="31" spans="1:28" ht="20.149999999999999" customHeight="1">
      <c r="A31" s="47"/>
      <c r="B31" s="854" t="s">
        <v>438</v>
      </c>
      <c r="C31" s="370" t="s">
        <v>46</v>
      </c>
      <c r="D31" s="418">
        <f>RaGVA</f>
        <v>0</v>
      </c>
      <c r="E31" s="523"/>
      <c r="F31" s="528"/>
      <c r="G31" s="520"/>
      <c r="H31" s="520"/>
      <c r="I31" s="520"/>
      <c r="J31" s="520"/>
      <c r="K31" s="520"/>
      <c r="L31" s="898"/>
      <c r="M31" s="756"/>
      <c r="N31" s="756"/>
      <c r="O31" s="756"/>
      <c r="P31" s="756"/>
      <c r="Q31" s="756"/>
      <c r="T31" s="329"/>
      <c r="U31" s="329"/>
      <c r="V31" s="329"/>
      <c r="W31" s="329"/>
      <c r="X31" s="329"/>
      <c r="Y31" s="329"/>
      <c r="Z31" s="329"/>
      <c r="AA31" s="329"/>
      <c r="AB31" s="329"/>
    </row>
    <row r="32" spans="1:28" ht="20.149999999999999" customHeight="1">
      <c r="A32" s="47"/>
      <c r="B32" s="854" t="s">
        <v>439</v>
      </c>
      <c r="C32" s="370" t="s">
        <v>46</v>
      </c>
      <c r="D32" s="418">
        <f>RaRUA</f>
        <v>0</v>
      </c>
      <c r="E32" s="523"/>
      <c r="F32" s="528"/>
      <c r="G32" s="520"/>
      <c r="H32" s="520"/>
      <c r="I32" s="520"/>
      <c r="J32" s="520"/>
      <c r="K32" s="520"/>
      <c r="L32" s="898"/>
      <c r="M32" s="756"/>
      <c r="N32" s="756"/>
      <c r="O32" s="756"/>
      <c r="P32" s="756"/>
      <c r="Q32" s="756"/>
      <c r="T32" s="329"/>
      <c r="U32" s="329"/>
      <c r="V32" s="329"/>
      <c r="W32" s="329"/>
      <c r="X32" s="329"/>
      <c r="Y32" s="329"/>
      <c r="Z32" s="329"/>
      <c r="AA32" s="329"/>
      <c r="AB32" s="329"/>
    </row>
    <row r="33" spans="1:28" ht="20.149999999999999" customHeight="1">
      <c r="A33" s="47"/>
      <c r="B33" s="854" t="s">
        <v>440</v>
      </c>
      <c r="C33" s="370" t="s">
        <v>46</v>
      </c>
      <c r="D33" s="418">
        <f>RaDTA</f>
        <v>0</v>
      </c>
      <c r="E33" s="523"/>
      <c r="F33" s="528"/>
      <c r="G33" s="520"/>
      <c r="H33" s="520"/>
      <c r="I33" s="520"/>
      <c r="J33" s="520"/>
      <c r="K33" s="520"/>
      <c r="L33" s="898"/>
      <c r="M33" s="756"/>
      <c r="N33" s="756"/>
      <c r="O33" s="756"/>
      <c r="P33" s="756"/>
      <c r="Q33" s="756"/>
      <c r="T33" s="329"/>
      <c r="U33" s="329"/>
      <c r="V33" s="329"/>
      <c r="W33" s="329"/>
      <c r="X33" s="329"/>
      <c r="Y33" s="329"/>
      <c r="Z33" s="329"/>
      <c r="AA33" s="329"/>
      <c r="AB33" s="329"/>
    </row>
    <row r="34" spans="1:28" ht="5.15" customHeight="1">
      <c r="A34" s="47"/>
      <c r="B34" s="49"/>
      <c r="C34" s="49"/>
      <c r="D34" s="49"/>
      <c r="E34" s="523"/>
      <c r="F34" s="520"/>
      <c r="G34" s="520"/>
      <c r="H34" s="520"/>
      <c r="I34" s="520"/>
      <c r="J34" s="520"/>
      <c r="K34" s="520"/>
      <c r="L34" s="898"/>
      <c r="M34" s="756"/>
      <c r="N34" s="756"/>
      <c r="O34" s="756"/>
      <c r="P34" s="756"/>
      <c r="Q34" s="756"/>
      <c r="T34" s="329"/>
      <c r="U34" s="329"/>
      <c r="V34" s="329"/>
      <c r="W34" s="329"/>
      <c r="X34" s="329"/>
      <c r="Y34" s="329"/>
      <c r="Z34" s="329"/>
      <c r="AA34" s="329"/>
      <c r="AB34" s="329"/>
    </row>
    <row r="35" spans="1:28" ht="20.149999999999999" customHeight="1">
      <c r="A35" s="54" t="s">
        <v>36</v>
      </c>
      <c r="B35" s="63" t="s">
        <v>65</v>
      </c>
      <c r="C35" s="116" t="str">
        <f>IF(Ic=1,"= REFERENCE MODEL","= PROTOTYPE")</f>
        <v>= REFERENCE MODEL</v>
      </c>
      <c r="D35" s="48"/>
      <c r="E35" s="523"/>
      <c r="F35" s="520"/>
      <c r="G35" s="520"/>
      <c r="H35" s="520"/>
      <c r="I35" s="520"/>
      <c r="J35" s="520"/>
      <c r="K35" s="520"/>
      <c r="L35" s="898"/>
      <c r="M35" s="756"/>
      <c r="N35" s="756"/>
      <c r="O35" s="756"/>
      <c r="P35" s="756"/>
      <c r="Q35" s="756"/>
      <c r="T35" s="329"/>
      <c r="U35" s="329"/>
      <c r="V35" s="329"/>
      <c r="W35" s="329"/>
      <c r="X35" s="329"/>
      <c r="Y35" s="329"/>
      <c r="Z35" s="329"/>
      <c r="AA35" s="329"/>
      <c r="AB35" s="329"/>
    </row>
    <row r="36" spans="1:28" ht="17.25" customHeight="1">
      <c r="A36" s="54" t="s">
        <v>105</v>
      </c>
      <c r="B36" s="419" t="s">
        <v>166</v>
      </c>
      <c r="C36" s="48"/>
      <c r="D36" s="61"/>
      <c r="E36" s="523"/>
      <c r="F36" s="520"/>
      <c r="G36" s="520"/>
      <c r="H36" s="520"/>
      <c r="I36" s="520"/>
      <c r="J36" s="520"/>
      <c r="K36" s="520"/>
      <c r="L36" s="898"/>
      <c r="M36" s="756"/>
      <c r="N36" s="756"/>
      <c r="O36" s="756"/>
      <c r="P36" s="756"/>
      <c r="Q36" s="756"/>
      <c r="T36" s="329"/>
      <c r="U36" s="329"/>
      <c r="V36" s="329"/>
      <c r="W36" s="329"/>
      <c r="X36" s="329"/>
      <c r="Y36" s="329"/>
      <c r="Z36" s="329"/>
      <c r="AA36" s="329"/>
      <c r="AB36" s="329"/>
    </row>
    <row r="37" spans="1:28" ht="20.149999999999999" customHeight="1">
      <c r="A37" s="47"/>
      <c r="B37" s="851" t="s">
        <v>441</v>
      </c>
      <c r="C37" s="420" t="s">
        <v>101</v>
      </c>
      <c r="D37" s="421" t="e">
        <f>IF(Ic=1,'Input Form'!D91,'Input Form'!D92)</f>
        <v>#DIV/0!</v>
      </c>
      <c r="E37" s="422"/>
      <c r="F37" s="520"/>
      <c r="G37" s="523"/>
      <c r="H37" s="528"/>
      <c r="I37" s="520"/>
      <c r="J37" s="520"/>
      <c r="K37" s="520"/>
      <c r="L37" s="898"/>
      <c r="M37" s="756"/>
      <c r="N37" s="756"/>
      <c r="O37" s="756"/>
      <c r="P37" s="756"/>
      <c r="Q37" s="756"/>
      <c r="T37" s="329"/>
      <c r="U37" s="329"/>
      <c r="V37" s="329"/>
      <c r="W37" s="329"/>
      <c r="X37" s="329"/>
      <c r="Y37" s="329"/>
      <c r="Z37" s="329"/>
      <c r="AA37" s="329"/>
      <c r="AB37" s="329"/>
    </row>
    <row r="38" spans="1:28" s="327" customFormat="1" ht="5.15" customHeight="1">
      <c r="A38" s="423"/>
      <c r="B38" s="77"/>
      <c r="C38" s="424"/>
      <c r="D38" s="77"/>
      <c r="E38" s="425"/>
      <c r="F38" s="525"/>
      <c r="G38" s="424"/>
      <c r="H38" s="525"/>
      <c r="I38" s="525"/>
      <c r="J38" s="525"/>
      <c r="K38" s="525"/>
      <c r="L38" s="908"/>
      <c r="M38" s="909"/>
      <c r="N38" s="909"/>
      <c r="O38" s="909"/>
      <c r="P38" s="909"/>
      <c r="Q38" s="909"/>
      <c r="R38" s="910"/>
      <c r="S38" s="910"/>
      <c r="T38" s="910"/>
      <c r="U38" s="910"/>
      <c r="V38" s="910"/>
      <c r="W38" s="910"/>
      <c r="X38" s="910"/>
      <c r="Y38" s="910"/>
      <c r="Z38" s="910"/>
      <c r="AA38" s="910"/>
      <c r="AB38" s="910"/>
    </row>
    <row r="39" spans="1:28" ht="15.75" customHeight="1">
      <c r="A39" s="54" t="s">
        <v>106</v>
      </c>
      <c r="B39" s="69" t="s">
        <v>229</v>
      </c>
      <c r="C39" s="49"/>
      <c r="D39" s="49"/>
      <c r="E39" s="523"/>
      <c r="F39" s="521"/>
      <c r="G39" s="521"/>
      <c r="H39" s="521"/>
      <c r="I39" s="520"/>
      <c r="J39" s="520"/>
      <c r="K39" s="520"/>
      <c r="L39" s="898"/>
      <c r="M39" s="756"/>
      <c r="N39" s="756"/>
      <c r="O39" s="756"/>
      <c r="P39" s="756"/>
      <c r="Q39" s="756"/>
      <c r="T39" s="329"/>
      <c r="U39" s="329"/>
      <c r="V39" s="329"/>
      <c r="W39" s="329"/>
      <c r="X39" s="329"/>
      <c r="Y39" s="329"/>
      <c r="Z39" s="329"/>
      <c r="AA39" s="329"/>
      <c r="AB39" s="329"/>
    </row>
    <row r="40" spans="1:28" ht="20.149999999999999" customHeight="1">
      <c r="A40" s="47"/>
      <c r="B40" s="851" t="s">
        <v>423</v>
      </c>
      <c r="C40" s="369" t="s">
        <v>37</v>
      </c>
      <c r="D40" s="426">
        <f>DB</f>
        <v>0</v>
      </c>
      <c r="E40" s="523" t="s">
        <v>107</v>
      </c>
      <c r="F40" s="521"/>
      <c r="G40" s="521"/>
      <c r="H40" s="521"/>
      <c r="I40" s="520"/>
      <c r="J40" s="520"/>
      <c r="K40" s="520"/>
      <c r="L40" s="898"/>
      <c r="M40" s="756"/>
      <c r="N40" s="756"/>
      <c r="O40" s="756"/>
      <c r="P40" s="756"/>
      <c r="Q40" s="756"/>
      <c r="T40" s="329"/>
      <c r="U40" s="329"/>
      <c r="V40" s="329"/>
      <c r="W40" s="329"/>
      <c r="X40" s="329"/>
      <c r="Y40" s="329"/>
      <c r="Z40" s="329"/>
      <c r="AA40" s="329"/>
      <c r="AB40" s="329"/>
    </row>
    <row r="41" spans="1:28" ht="6" customHeight="1">
      <c r="A41" s="47"/>
      <c r="B41" s="427"/>
      <c r="C41" s="427"/>
      <c r="D41" s="428"/>
      <c r="E41" s="523"/>
      <c r="F41" s="429"/>
      <c r="G41" s="429"/>
      <c r="H41" s="429"/>
      <c r="I41" s="520"/>
      <c r="J41" s="520"/>
      <c r="K41" s="520"/>
      <c r="L41" s="898"/>
      <c r="M41" s="756"/>
      <c r="N41" s="756"/>
      <c r="O41" s="756"/>
      <c r="P41" s="756"/>
      <c r="Q41" s="756"/>
      <c r="T41" s="329"/>
      <c r="U41" s="329"/>
      <c r="V41" s="329"/>
      <c r="W41" s="329"/>
      <c r="X41" s="329"/>
      <c r="Y41" s="329"/>
      <c r="Z41" s="329"/>
      <c r="AA41" s="329"/>
      <c r="AB41" s="329"/>
    </row>
    <row r="42" spans="1:28" ht="20.149999999999999" customHeight="1">
      <c r="A42" s="54" t="s">
        <v>108</v>
      </c>
      <c r="B42" s="69" t="s">
        <v>220</v>
      </c>
      <c r="C42" s="49"/>
      <c r="D42" s="49"/>
      <c r="E42" s="523"/>
      <c r="F42" s="430"/>
      <c r="G42" s="431"/>
      <c r="H42" s="432"/>
      <c r="I42" s="520"/>
      <c r="J42" s="520"/>
      <c r="K42" s="520"/>
      <c r="L42" s="898"/>
      <c r="M42" s="756"/>
      <c r="N42" s="756"/>
      <c r="O42" s="756"/>
      <c r="P42" s="756"/>
      <c r="Q42" s="756"/>
      <c r="T42" s="329"/>
      <c r="U42" s="329"/>
      <c r="V42" s="329"/>
      <c r="W42" s="329"/>
      <c r="X42" s="329"/>
      <c r="Y42" s="329"/>
      <c r="Z42" s="329"/>
      <c r="AA42" s="329"/>
      <c r="AB42" s="329"/>
    </row>
    <row r="43" spans="1:28" ht="20.149999999999999" customHeight="1">
      <c r="A43" s="47"/>
      <c r="B43" s="852" t="s">
        <v>442</v>
      </c>
      <c r="C43" s="371" t="s">
        <v>42</v>
      </c>
      <c r="D43" s="433">
        <f>IF(Ic=1,'Input Form'!D85,'Input Form'!D86)</f>
        <v>20</v>
      </c>
      <c r="E43" s="523"/>
      <c r="F43" s="430"/>
      <c r="G43" s="431"/>
      <c r="H43" s="432"/>
      <c r="I43" s="520"/>
      <c r="J43" s="520"/>
      <c r="K43" s="520"/>
      <c r="L43" s="898"/>
      <c r="M43" s="756"/>
      <c r="N43" s="756"/>
      <c r="O43" s="756"/>
      <c r="P43" s="756"/>
      <c r="Q43" s="756"/>
      <c r="T43" s="329"/>
      <c r="U43" s="329"/>
      <c r="V43" s="329"/>
      <c r="W43" s="329"/>
      <c r="X43" s="329"/>
      <c r="Y43" s="329"/>
      <c r="Z43" s="329"/>
      <c r="AA43" s="329"/>
      <c r="AB43" s="329"/>
    </row>
    <row r="44" spans="1:28" ht="20.149999999999999" customHeight="1">
      <c r="A44" s="47"/>
      <c r="B44" s="855" t="s">
        <v>465</v>
      </c>
      <c r="C44" s="434" t="s">
        <v>82</v>
      </c>
      <c r="D44" s="413">
        <f>EXP(-16.921+396.13/(107.41+D43))</f>
        <v>1.0036136888703258E-6</v>
      </c>
      <c r="E44" s="523"/>
      <c r="F44" s="430"/>
      <c r="G44" s="431"/>
      <c r="H44" s="432"/>
      <c r="I44" s="520"/>
      <c r="J44" s="520"/>
      <c r="K44" s="520"/>
      <c r="L44" s="898"/>
      <c r="M44" s="756"/>
      <c r="N44" s="756"/>
      <c r="O44" s="756"/>
      <c r="P44" s="756"/>
      <c r="Q44" s="756"/>
      <c r="T44" s="329"/>
      <c r="U44" s="329"/>
      <c r="V44" s="329"/>
      <c r="W44" s="329"/>
      <c r="X44" s="329"/>
      <c r="Y44" s="329"/>
      <c r="Z44" s="329"/>
      <c r="AA44" s="329"/>
      <c r="AB44" s="329"/>
    </row>
    <row r="45" spans="1:28" ht="5.15" customHeight="1">
      <c r="A45" s="47"/>
      <c r="B45" s="49"/>
      <c r="C45" s="49"/>
      <c r="D45" s="49"/>
      <c r="E45" s="523"/>
      <c r="F45" s="298"/>
      <c r="G45" s="523"/>
      <c r="H45" s="415"/>
      <c r="I45" s="520"/>
      <c r="J45" s="520"/>
      <c r="K45" s="520"/>
      <c r="L45" s="898"/>
      <c r="M45" s="756"/>
      <c r="N45" s="756"/>
      <c r="O45" s="756"/>
      <c r="P45" s="756"/>
      <c r="Q45" s="756"/>
      <c r="T45" s="329"/>
      <c r="U45" s="329"/>
      <c r="V45" s="329"/>
      <c r="W45" s="329"/>
      <c r="X45" s="329"/>
      <c r="Y45" s="329"/>
      <c r="Z45" s="329"/>
      <c r="AA45" s="329"/>
      <c r="AB45" s="329"/>
    </row>
    <row r="46" spans="1:28" ht="15" customHeight="1">
      <c r="A46" s="54" t="s">
        <v>109</v>
      </c>
      <c r="B46" s="416" t="s">
        <v>110</v>
      </c>
      <c r="C46" s="417"/>
      <c r="D46" s="417"/>
      <c r="E46" s="523"/>
      <c r="F46" s="435"/>
      <c r="G46" s="435"/>
      <c r="H46" s="436"/>
      <c r="I46" s="435"/>
      <c r="J46" s="520"/>
      <c r="K46" s="520"/>
      <c r="L46" s="898"/>
      <c r="M46" s="756"/>
      <c r="N46" s="756"/>
      <c r="O46" s="756"/>
      <c r="P46" s="756"/>
      <c r="Q46" s="756"/>
      <c r="T46" s="329"/>
      <c r="U46" s="329"/>
      <c r="V46" s="329"/>
      <c r="W46" s="329"/>
      <c r="X46" s="329"/>
      <c r="Y46" s="329"/>
      <c r="Z46" s="329"/>
      <c r="AA46" s="329"/>
      <c r="AB46" s="329"/>
    </row>
    <row r="47" spans="1:28" ht="20.149999999999999" customHeight="1">
      <c r="A47" s="47"/>
      <c r="B47" s="851" t="s">
        <v>443</v>
      </c>
      <c r="C47" s="370" t="s">
        <v>46</v>
      </c>
      <c r="D47" s="418">
        <f>RaSPB</f>
        <v>0.8</v>
      </c>
      <c r="E47" s="523"/>
      <c r="F47" s="435"/>
      <c r="G47" s="437"/>
      <c r="H47" s="438"/>
      <c r="I47" s="435"/>
      <c r="J47" s="520"/>
      <c r="K47" s="520"/>
      <c r="L47" s="898"/>
      <c r="M47" s="756"/>
      <c r="N47" s="756"/>
      <c r="O47" s="756"/>
      <c r="P47" s="756"/>
      <c r="Q47" s="756"/>
      <c r="T47" s="329"/>
      <c r="U47" s="329"/>
      <c r="V47" s="329"/>
      <c r="W47" s="329"/>
      <c r="X47" s="329"/>
      <c r="Y47" s="329"/>
      <c r="Z47" s="329"/>
      <c r="AA47" s="329"/>
      <c r="AB47" s="329"/>
    </row>
    <row r="48" spans="1:28" ht="20.149999999999999" customHeight="1">
      <c r="A48" s="47"/>
      <c r="B48" s="851" t="s">
        <v>444</v>
      </c>
      <c r="C48" s="370" t="s">
        <v>46</v>
      </c>
      <c r="D48" s="418">
        <f>RaSVB</f>
        <v>0.8</v>
      </c>
      <c r="E48" s="523"/>
      <c r="F48" s="435"/>
      <c r="G48" s="437"/>
      <c r="H48" s="438"/>
      <c r="I48" s="435"/>
      <c r="J48" s="520"/>
      <c r="K48" s="520"/>
      <c r="L48" s="898"/>
      <c r="M48" s="756"/>
      <c r="N48" s="756"/>
      <c r="O48" s="756"/>
      <c r="P48" s="756"/>
      <c r="Q48" s="756"/>
      <c r="T48" s="329"/>
      <c r="U48" s="329"/>
      <c r="V48" s="329"/>
      <c r="W48" s="329"/>
      <c r="X48" s="329"/>
      <c r="Y48" s="329"/>
      <c r="Z48" s="329"/>
      <c r="AA48" s="329"/>
      <c r="AB48" s="329"/>
    </row>
    <row r="49" spans="1:28" ht="20.149999999999999" customHeight="1">
      <c r="A49" s="47"/>
      <c r="B49" s="851" t="s">
        <v>445</v>
      </c>
      <c r="C49" s="370" t="s">
        <v>46</v>
      </c>
      <c r="D49" s="418">
        <f>RaGVB</f>
        <v>0.4</v>
      </c>
      <c r="E49" s="523"/>
      <c r="F49" s="435"/>
      <c r="G49" s="437"/>
      <c r="H49" s="438"/>
      <c r="I49" s="435"/>
      <c r="J49" s="520"/>
      <c r="K49" s="520"/>
      <c r="L49" s="898"/>
      <c r="M49" s="756"/>
      <c r="N49" s="756"/>
      <c r="O49" s="756"/>
      <c r="P49" s="756"/>
      <c r="Q49" s="756"/>
      <c r="T49" s="329"/>
      <c r="U49" s="329"/>
      <c r="V49" s="329"/>
      <c r="W49" s="329"/>
      <c r="X49" s="329"/>
      <c r="Y49" s="329"/>
      <c r="Z49" s="329"/>
      <c r="AA49" s="329"/>
      <c r="AB49" s="329"/>
    </row>
    <row r="50" spans="1:28" ht="20.149999999999999" customHeight="1">
      <c r="A50" s="47"/>
      <c r="B50" s="854" t="s">
        <v>446</v>
      </c>
      <c r="C50" s="370" t="s">
        <v>46</v>
      </c>
      <c r="D50" s="418">
        <f>RaRUB</f>
        <v>0.4</v>
      </c>
      <c r="E50" s="523"/>
      <c r="F50" s="435"/>
      <c r="G50" s="437"/>
      <c r="H50" s="438"/>
      <c r="I50" s="435"/>
      <c r="J50" s="520"/>
      <c r="K50" s="520"/>
      <c r="L50" s="898"/>
      <c r="M50" s="756"/>
      <c r="N50" s="756"/>
      <c r="O50" s="756"/>
      <c r="P50" s="756"/>
      <c r="Q50" s="756"/>
      <c r="T50" s="329"/>
      <c r="U50" s="329"/>
      <c r="V50" s="329"/>
      <c r="W50" s="329"/>
      <c r="X50" s="329"/>
      <c r="Y50" s="329"/>
      <c r="Z50" s="329"/>
      <c r="AA50" s="329"/>
      <c r="AB50" s="329"/>
    </row>
    <row r="51" spans="1:28" ht="20.149999999999999" customHeight="1">
      <c r="A51" s="47"/>
      <c r="B51" s="851" t="s">
        <v>447</v>
      </c>
      <c r="C51" s="370" t="s">
        <v>46</v>
      </c>
      <c r="D51" s="418">
        <f>RaDTB</f>
        <v>0.8</v>
      </c>
      <c r="E51" s="523"/>
      <c r="F51" s="435"/>
      <c r="G51" s="437"/>
      <c r="H51" s="438"/>
      <c r="I51" s="435"/>
      <c r="J51" s="520"/>
      <c r="K51" s="520"/>
      <c r="L51" s="898"/>
      <c r="M51" s="756"/>
      <c r="N51" s="756"/>
      <c r="O51" s="756"/>
      <c r="P51" s="756"/>
      <c r="Q51" s="756"/>
      <c r="T51" s="329"/>
      <c r="U51" s="329"/>
      <c r="V51" s="329"/>
      <c r="W51" s="329"/>
      <c r="X51" s="329"/>
      <c r="Y51" s="329"/>
      <c r="Z51" s="329"/>
      <c r="AA51" s="329"/>
      <c r="AB51" s="329"/>
    </row>
    <row r="52" spans="1:28" ht="14.25" customHeight="1">
      <c r="A52" s="47"/>
      <c r="B52" s="48"/>
      <c r="C52" s="48"/>
      <c r="D52" s="48"/>
      <c r="E52" s="523"/>
      <c r="F52" s="520"/>
      <c r="G52" s="520"/>
      <c r="H52" s="520"/>
      <c r="I52" s="520"/>
      <c r="J52" s="520"/>
      <c r="K52" s="520"/>
      <c r="L52" s="898"/>
      <c r="M52" s="756"/>
      <c r="N52" s="756"/>
      <c r="O52" s="756"/>
      <c r="P52" s="756"/>
      <c r="Q52" s="756"/>
      <c r="T52" s="329"/>
      <c r="U52" s="329"/>
      <c r="V52" s="329"/>
      <c r="W52" s="329"/>
      <c r="X52" s="329"/>
      <c r="Y52" s="329"/>
      <c r="Z52" s="329"/>
      <c r="AA52" s="329"/>
      <c r="AB52" s="329"/>
    </row>
    <row r="53" spans="1:28" ht="20.149999999999999" customHeight="1">
      <c r="A53" s="54" t="s">
        <v>83</v>
      </c>
      <c r="B53" s="63" t="s">
        <v>227</v>
      </c>
      <c r="C53" s="48"/>
      <c r="D53" s="48"/>
      <c r="E53" s="1289" t="e">
        <f>IF(IT&lt;1,"'Type of turbine': Not defined !",IF(IT=1,IF(NQE&lt;0.06,"Specific speed is lower than the applicable range specified in the code, see subclauses 6.3 and 6.4.",IF(NQE&gt;0.3,"Specific speed is higher than the applicable range specified in the code, see subclauses 6.3 and 6.4.", " ")),IF(IT&lt;4, IF(NQE&lt;0.06,"Specific speed is lower than the applicable range specified in the code, see subclauses 6.3 and 6.4.",IF(NQE&gt;0.2,"Specific speed is higher than the applicable range specified in the code, see subclauses 6.3 and 6.4."," ")), IF(IT=4, IF(NQE&lt;0.25,"Specific speed is lower than the applicable range specified in the code, see subclauses 6.3 and 6.4.",IF(NQE&gt;0.7,"Specific speed is higher than the applicable range specified in the code, see subclauses 6.3 and 6.4."," ")), "'Type of turbine': Incorrect !"))))</f>
        <v>#DIV/0!</v>
      </c>
      <c r="F53" s="1290"/>
      <c r="G53" s="1290"/>
      <c r="H53" s="1290"/>
      <c r="I53" s="1291"/>
      <c r="J53" s="1291"/>
      <c r="K53" s="1291"/>
      <c r="L53" s="898"/>
      <c r="M53" s="756"/>
      <c r="N53" s="756"/>
      <c r="O53" s="756"/>
      <c r="P53" s="756"/>
      <c r="Q53" s="756"/>
      <c r="T53" s="329"/>
      <c r="U53" s="329"/>
      <c r="V53" s="329"/>
      <c r="W53" s="329"/>
      <c r="X53" s="329"/>
      <c r="Y53" s="329"/>
      <c r="Z53" s="329"/>
      <c r="AA53" s="329"/>
      <c r="AB53" s="329"/>
    </row>
    <row r="54" spans="1:28" ht="18.75" customHeight="1">
      <c r="A54" s="47"/>
      <c r="B54" s="857" t="s">
        <v>448</v>
      </c>
      <c r="C54" s="868" t="s">
        <v>44</v>
      </c>
      <c r="D54" s="870" t="e">
        <f>nAopt*SQRT(Q1Aopt)/(EAopt^0.75)</f>
        <v>#DIV/0!</v>
      </c>
      <c r="E54" s="1290"/>
      <c r="F54" s="1290"/>
      <c r="G54" s="1290"/>
      <c r="H54" s="1290"/>
      <c r="I54" s="1291"/>
      <c r="J54" s="1291"/>
      <c r="K54" s="1291"/>
      <c r="L54" s="898"/>
      <c r="M54" s="1140"/>
      <c r="N54" s="756"/>
      <c r="O54" s="756"/>
      <c r="P54" s="756"/>
      <c r="Q54" s="756"/>
      <c r="T54" s="329"/>
      <c r="U54" s="329"/>
      <c r="V54" s="329"/>
      <c r="W54" s="329"/>
      <c r="X54" s="329"/>
      <c r="Y54" s="329"/>
      <c r="Z54" s="329"/>
      <c r="AA54" s="329"/>
      <c r="AB54" s="329"/>
    </row>
    <row r="55" spans="1:28" ht="9" customHeight="1">
      <c r="A55" s="47"/>
      <c r="B55" s="48"/>
      <c r="C55" s="439"/>
      <c r="D55" s="48"/>
      <c r="E55" s="523"/>
      <c r="F55" s="520"/>
      <c r="G55" s="520"/>
      <c r="H55" s="520"/>
      <c r="I55" s="520"/>
      <c r="J55" s="520"/>
      <c r="K55" s="520"/>
      <c r="L55" s="898"/>
      <c r="M55" s="756"/>
      <c r="N55" s="756"/>
      <c r="O55" s="756"/>
      <c r="P55" s="756"/>
      <c r="Q55" s="756"/>
      <c r="T55" s="329"/>
      <c r="U55" s="329"/>
      <c r="V55" s="329"/>
      <c r="W55" s="329"/>
      <c r="X55" s="329"/>
      <c r="Y55" s="329"/>
      <c r="Z55" s="329"/>
      <c r="AA55" s="329"/>
      <c r="AB55" s="329"/>
    </row>
    <row r="56" spans="1:28" ht="20.149999999999999" customHeight="1">
      <c r="A56" s="54" t="s">
        <v>111</v>
      </c>
      <c r="B56" s="63" t="s">
        <v>228</v>
      </c>
      <c r="C56" s="48"/>
      <c r="D56" s="48"/>
      <c r="E56" s="523"/>
      <c r="F56" s="520"/>
      <c r="G56" s="520"/>
      <c r="H56" s="520"/>
      <c r="I56" s="520"/>
      <c r="J56" s="520"/>
      <c r="K56" s="520"/>
      <c r="L56" s="898"/>
      <c r="M56" s="756"/>
      <c r="N56" s="756"/>
      <c r="O56" s="756"/>
      <c r="P56" s="756"/>
      <c r="Q56" s="756"/>
      <c r="T56" s="329"/>
      <c r="U56" s="329"/>
      <c r="V56" s="329"/>
      <c r="W56" s="329"/>
      <c r="X56" s="329"/>
      <c r="Y56" s="329"/>
      <c r="Z56" s="329"/>
      <c r="AA56" s="329"/>
      <c r="AB56" s="329"/>
    </row>
    <row r="57" spans="1:28" ht="28">
      <c r="A57" s="47"/>
      <c r="B57" s="48"/>
      <c r="C57" s="48"/>
      <c r="D57" s="585" t="s">
        <v>112</v>
      </c>
      <c r="E57" s="440" t="s">
        <v>113</v>
      </c>
      <c r="F57" s="520"/>
      <c r="G57" s="520"/>
      <c r="H57" s="520"/>
      <c r="I57" s="520"/>
      <c r="J57" s="520"/>
      <c r="K57" s="520"/>
      <c r="L57" s="898"/>
      <c r="M57" s="756"/>
      <c r="N57" s="756"/>
      <c r="O57" s="756"/>
      <c r="P57" s="756"/>
      <c r="Q57" s="756"/>
      <c r="T57" s="329"/>
      <c r="U57" s="329"/>
      <c r="V57" s="329"/>
      <c r="W57" s="329"/>
      <c r="X57" s="329"/>
      <c r="Y57" s="329"/>
      <c r="Z57" s="329"/>
      <c r="AA57" s="329"/>
      <c r="AB57" s="329"/>
    </row>
    <row r="58" spans="1:28" ht="20.149999999999999" customHeight="1">
      <c r="A58" s="47"/>
      <c r="B58" s="857" t="s">
        <v>449</v>
      </c>
      <c r="C58" s="761" t="s">
        <v>114</v>
      </c>
      <c r="D58" s="804">
        <f>PI()*(DA/1000)*nAopt</f>
        <v>0</v>
      </c>
      <c r="E58" s="804">
        <f>IF(Ic=3, "-",PI()*(DA/1000)*nAi)</f>
        <v>0</v>
      </c>
      <c r="F58" s="856" t="s">
        <v>453</v>
      </c>
      <c r="G58" s="732"/>
      <c r="H58" s="520"/>
      <c r="I58" s="520"/>
      <c r="J58" s="520"/>
      <c r="K58" s="520"/>
      <c r="L58" s="906"/>
      <c r="M58" s="756"/>
      <c r="N58" s="756"/>
      <c r="O58" s="756"/>
      <c r="P58" s="756"/>
      <c r="Q58" s="756"/>
      <c r="T58" s="329"/>
      <c r="U58" s="329"/>
      <c r="V58" s="329"/>
      <c r="W58" s="329"/>
      <c r="X58" s="329"/>
      <c r="Y58" s="329"/>
      <c r="Z58" s="329"/>
      <c r="AA58" s="329"/>
      <c r="AB58" s="329"/>
    </row>
    <row r="59" spans="1:28" ht="20.149999999999999" customHeight="1">
      <c r="A59" s="47"/>
      <c r="B59" s="857" t="s">
        <v>450</v>
      </c>
      <c r="C59" s="761" t="s">
        <v>114</v>
      </c>
      <c r="D59" s="864" t="e">
        <f>PI()*(DB/1000)*nB</f>
        <v>#DIV/0!</v>
      </c>
      <c r="E59" s="804" t="e">
        <f>IF(Ic=3, "-",D59)</f>
        <v>#DIV/0!</v>
      </c>
      <c r="F59" s="856" t="s">
        <v>454</v>
      </c>
      <c r="G59" s="732"/>
      <c r="H59" s="520"/>
      <c r="I59" s="520"/>
      <c r="J59" s="520"/>
      <c r="K59" s="520"/>
      <c r="L59" s="906"/>
      <c r="M59" s="756"/>
      <c r="N59" s="756"/>
      <c r="O59" s="756"/>
      <c r="P59" s="756"/>
      <c r="Q59" s="756"/>
      <c r="T59" s="329"/>
      <c r="U59" s="329"/>
      <c r="V59" s="329"/>
      <c r="W59" s="329"/>
      <c r="X59" s="329"/>
      <c r="Y59" s="329"/>
      <c r="Z59" s="329"/>
      <c r="AA59" s="329"/>
      <c r="AB59" s="329"/>
    </row>
    <row r="60" spans="1:28" ht="20.149999999999999" customHeight="1">
      <c r="A60" s="47"/>
      <c r="B60" s="857" t="s">
        <v>451</v>
      </c>
      <c r="C60" s="761" t="s">
        <v>44</v>
      </c>
      <c r="D60" s="453">
        <f>(DA/1000)*D58/ViscAopt</f>
        <v>0</v>
      </c>
      <c r="E60" s="453">
        <f>IF(Ic=3, "-",(DA/1000)*E58/ViscAi)</f>
        <v>0</v>
      </c>
      <c r="F60" s="520"/>
      <c r="G60" s="732"/>
      <c r="H60" s="520"/>
      <c r="I60" s="520"/>
      <c r="J60" s="520"/>
      <c r="K60" s="520"/>
      <c r="L60" s="906"/>
      <c r="M60" s="756"/>
      <c r="N60" s="756"/>
      <c r="O60" s="756"/>
      <c r="P60" s="756"/>
      <c r="Q60" s="756"/>
      <c r="T60" s="329"/>
      <c r="U60" s="329"/>
      <c r="V60" s="329"/>
      <c r="W60" s="329"/>
      <c r="X60" s="329"/>
      <c r="Y60" s="329"/>
      <c r="Z60" s="329"/>
      <c r="AA60" s="329"/>
      <c r="AB60" s="329"/>
    </row>
    <row r="61" spans="1:28" ht="20.149999999999999" customHeight="1">
      <c r="A61" s="47"/>
      <c r="B61" s="857" t="s">
        <v>452</v>
      </c>
      <c r="C61" s="761" t="s">
        <v>44</v>
      </c>
      <c r="D61" s="453" t="e">
        <f xml:space="preserve"> (DB/1000)^2*PI()*nB/ViscB</f>
        <v>#DIV/0!</v>
      </c>
      <c r="E61" s="453" t="e">
        <f>IF(Ic=3,"-",ReB)</f>
        <v>#DIV/0!</v>
      </c>
      <c r="F61" s="733"/>
      <c r="G61" s="732"/>
      <c r="H61" s="520"/>
      <c r="I61" s="520"/>
      <c r="J61" s="520"/>
      <c r="K61" s="520"/>
      <c r="L61" s="906"/>
      <c r="M61" s="756"/>
      <c r="N61" s="756"/>
      <c r="O61" s="756"/>
      <c r="P61" s="756"/>
      <c r="Q61" s="756"/>
      <c r="T61" s="329"/>
      <c r="U61" s="329"/>
      <c r="V61" s="329"/>
      <c r="W61" s="329"/>
      <c r="X61" s="329"/>
      <c r="Y61" s="329"/>
      <c r="Z61" s="329"/>
      <c r="AA61" s="329"/>
      <c r="AB61" s="329"/>
    </row>
    <row r="62" spans="1:28" ht="6" customHeight="1">
      <c r="A62" s="47"/>
      <c r="B62" s="48"/>
      <c r="C62" s="48"/>
      <c r="D62" s="865"/>
      <c r="E62" s="557"/>
      <c r="F62" s="520"/>
      <c r="G62" s="520"/>
      <c r="H62" s="520"/>
      <c r="I62" s="520"/>
      <c r="J62" s="520"/>
      <c r="K62" s="520"/>
      <c r="L62" s="898"/>
      <c r="M62" s="756"/>
      <c r="N62" s="756"/>
      <c r="O62" s="756"/>
      <c r="P62" s="756"/>
      <c r="Q62" s="756"/>
      <c r="T62" s="329"/>
      <c r="U62" s="329"/>
      <c r="V62" s="329"/>
      <c r="W62" s="329"/>
      <c r="X62" s="329"/>
      <c r="Y62" s="329"/>
      <c r="Z62" s="329"/>
      <c r="AA62" s="329"/>
      <c r="AB62" s="329"/>
    </row>
    <row r="63" spans="1:28" ht="20.149999999999999" customHeight="1">
      <c r="A63" s="54" t="s">
        <v>115</v>
      </c>
      <c r="B63" s="63" t="s">
        <v>116</v>
      </c>
      <c r="C63" s="48"/>
      <c r="D63" s="48"/>
      <c r="E63" s="523"/>
      <c r="F63" s="520"/>
      <c r="G63" s="520"/>
      <c r="H63" s="520"/>
      <c r="I63" s="520"/>
      <c r="J63" s="520"/>
      <c r="K63" s="520"/>
      <c r="L63" s="911" t="s">
        <v>28</v>
      </c>
      <c r="M63" s="756"/>
      <c r="N63" s="756"/>
      <c r="O63" s="756"/>
      <c r="P63" s="756"/>
      <c r="Q63" s="756"/>
      <c r="T63" s="329"/>
      <c r="U63" s="329"/>
      <c r="V63" s="329"/>
      <c r="W63" s="329"/>
      <c r="X63" s="329"/>
      <c r="Y63" s="329"/>
      <c r="Z63" s="329"/>
      <c r="AA63" s="329"/>
      <c r="AB63" s="329"/>
    </row>
    <row r="64" spans="1:28" ht="20.149999999999999" customHeight="1">
      <c r="A64" s="47"/>
      <c r="B64" s="444"/>
      <c r="C64" s="445"/>
      <c r="D64" s="585" t="s">
        <v>117</v>
      </c>
      <c r="E64" s="585" t="s">
        <v>118</v>
      </c>
      <c r="F64" s="585" t="s">
        <v>271</v>
      </c>
      <c r="G64" s="585" t="s">
        <v>119</v>
      </c>
      <c r="H64" s="585" t="s">
        <v>120</v>
      </c>
      <c r="I64" s="520"/>
      <c r="J64" s="520"/>
      <c r="K64" s="520"/>
      <c r="L64" s="1292" t="s">
        <v>279</v>
      </c>
      <c r="M64" s="1293"/>
      <c r="N64" s="1293"/>
      <c r="O64" s="1293"/>
      <c r="P64" s="1293"/>
      <c r="Q64" s="1293"/>
      <c r="T64" s="329"/>
      <c r="U64" s="329"/>
      <c r="V64" s="329"/>
      <c r="W64" s="329"/>
      <c r="X64" s="329"/>
      <c r="Y64" s="329"/>
      <c r="Z64" s="329"/>
      <c r="AA64" s="329"/>
      <c r="AB64" s="329"/>
    </row>
    <row r="65" spans="1:28" ht="20.149999999999999" customHeight="1">
      <c r="A65" s="47"/>
      <c r="B65" s="857" t="s">
        <v>455</v>
      </c>
      <c r="C65" s="367"/>
      <c r="D65" s="585" t="e">
        <f>IF(IT&lt;=3,RaSPA/DA/1000," ")</f>
        <v>#DIV/0!</v>
      </c>
      <c r="E65" s="585" t="e">
        <f>IF(IT&lt;=3, RaSVA/DA/1000, " ")</f>
        <v>#DIV/0!</v>
      </c>
      <c r="F65" s="585" t="e">
        <f>IF(IT&lt;=3, RaGVA/DA/1000, IF(IT=4, (RaSVA+RaGVA)/DA/2000, " "))</f>
        <v>#DIV/0!</v>
      </c>
      <c r="G65" s="585" t="e">
        <f>RaRUA/DA/1000</f>
        <v>#DIV/0!</v>
      </c>
      <c r="H65" s="585" t="e">
        <f>IF(IT&lt;=3,RaDTA/DA/1000, " ")</f>
        <v>#DIV/0!</v>
      </c>
      <c r="I65" s="422"/>
      <c r="J65" s="520"/>
      <c r="K65" s="520"/>
      <c r="L65" s="1294"/>
      <c r="M65" s="1293"/>
      <c r="N65" s="1293"/>
      <c r="O65" s="1293"/>
      <c r="P65" s="1293"/>
      <c r="Q65" s="1293"/>
      <c r="T65" s="329"/>
      <c r="U65" s="329"/>
      <c r="V65" s="329"/>
      <c r="W65" s="329"/>
      <c r="X65" s="329"/>
      <c r="Y65" s="329"/>
      <c r="Z65" s="329"/>
      <c r="AA65" s="329"/>
      <c r="AB65" s="329"/>
    </row>
    <row r="66" spans="1:28" ht="20.149999999999999" customHeight="1">
      <c r="A66" s="47"/>
      <c r="B66" s="857" t="s">
        <v>456</v>
      </c>
      <c r="C66" s="367"/>
      <c r="D66" s="585" t="e">
        <f>IF(IT&lt;=3,RaSPB/DB/1000," ")</f>
        <v>#DIV/0!</v>
      </c>
      <c r="E66" s="585" t="e">
        <f>IF(IT&lt;=3,(RaSVB/DB)/1000," ")</f>
        <v>#DIV/0!</v>
      </c>
      <c r="F66" s="585" t="e">
        <f>IF(IT&lt;=3, RaGVB/DB/1000,IF(IT=4, (RaSVB+RaGVB)/DB/2000," "))</f>
        <v>#DIV/0!</v>
      </c>
      <c r="G66" s="585" t="e">
        <f>RaRUB/DB/1000</f>
        <v>#DIV/0!</v>
      </c>
      <c r="H66" s="585" t="e">
        <f>IF(IT&lt;=3, RaDTB/DB/1000," ")</f>
        <v>#DIV/0!</v>
      </c>
      <c r="I66" s="422"/>
      <c r="J66" s="520"/>
      <c r="K66" s="520"/>
      <c r="L66" s="1294"/>
      <c r="M66" s="1293"/>
      <c r="N66" s="1293"/>
      <c r="O66" s="1293"/>
      <c r="P66" s="1293"/>
      <c r="Q66" s="1293"/>
      <c r="T66" s="329"/>
      <c r="U66" s="329"/>
      <c r="V66" s="329"/>
      <c r="W66" s="329"/>
      <c r="X66" s="329"/>
      <c r="Y66" s="329"/>
      <c r="Z66" s="329"/>
      <c r="AA66" s="329"/>
      <c r="AB66" s="329"/>
    </row>
    <row r="67" spans="1:28" ht="8.25" customHeight="1">
      <c r="A67" s="47"/>
      <c r="B67" s="446"/>
      <c r="C67" s="49"/>
      <c r="D67" s="447"/>
      <c r="E67" s="447"/>
      <c r="F67" s="447"/>
      <c r="G67" s="447"/>
      <c r="H67" s="447"/>
      <c r="I67" s="520"/>
      <c r="J67" s="520"/>
      <c r="K67" s="520"/>
      <c r="L67" s="1295"/>
      <c r="M67" s="1296"/>
      <c r="N67" s="1296"/>
      <c r="O67" s="1296"/>
      <c r="P67" s="1296"/>
      <c r="Q67" s="1296"/>
      <c r="T67" s="329"/>
      <c r="U67" s="329"/>
      <c r="V67" s="329"/>
      <c r="W67" s="329"/>
      <c r="X67" s="329"/>
      <c r="Y67" s="329"/>
      <c r="Z67" s="329"/>
      <c r="AA67" s="329"/>
      <c r="AB67" s="329"/>
    </row>
    <row r="68" spans="1:28" ht="18" customHeight="1">
      <c r="A68" s="54" t="s">
        <v>121</v>
      </c>
      <c r="B68" s="69" t="s">
        <v>226</v>
      </c>
      <c r="C68" s="49"/>
      <c r="D68" s="447"/>
      <c r="E68" s="447"/>
      <c r="F68" s="447"/>
      <c r="G68" s="447"/>
      <c r="H68" s="447"/>
      <c r="I68" s="520"/>
      <c r="J68" s="520"/>
      <c r="K68" s="520"/>
      <c r="L68" s="1295"/>
      <c r="M68" s="1296"/>
      <c r="N68" s="1296"/>
      <c r="O68" s="1296"/>
      <c r="P68" s="1296"/>
      <c r="Q68" s="1296"/>
      <c r="T68" s="329"/>
      <c r="U68" s="329"/>
      <c r="V68" s="329"/>
      <c r="W68" s="329"/>
      <c r="X68" s="329"/>
      <c r="Y68" s="329"/>
      <c r="Z68" s="329"/>
      <c r="AA68" s="329"/>
      <c r="AB68" s="329"/>
    </row>
    <row r="69" spans="1:28" ht="18" customHeight="1">
      <c r="A69" s="47"/>
      <c r="B69" s="448"/>
      <c r="C69" s="449"/>
      <c r="D69" s="70" t="s">
        <v>117</v>
      </c>
      <c r="E69" s="365" t="s">
        <v>118</v>
      </c>
      <c r="F69" s="365" t="s">
        <v>271</v>
      </c>
      <c r="G69" s="365" t="s">
        <v>119</v>
      </c>
      <c r="H69" s="365" t="s">
        <v>120</v>
      </c>
      <c r="I69" s="520"/>
      <c r="J69" s="520"/>
      <c r="K69" s="520"/>
      <c r="L69" s="1295"/>
      <c r="M69" s="1296"/>
      <c r="N69" s="1296"/>
      <c r="O69" s="1296"/>
      <c r="P69" s="1296"/>
      <c r="Q69" s="1296"/>
      <c r="T69" s="329"/>
      <c r="U69" s="329"/>
      <c r="V69" s="329"/>
      <c r="W69" s="329"/>
      <c r="X69" s="329"/>
      <c r="Y69" s="329"/>
      <c r="Z69" s="329"/>
      <c r="AA69" s="329"/>
      <c r="AB69" s="329"/>
    </row>
    <row r="70" spans="1:28" ht="18" customHeight="1">
      <c r="A70" s="47"/>
      <c r="B70" s="858" t="s">
        <v>457</v>
      </c>
      <c r="C70" s="761" t="s">
        <v>41</v>
      </c>
      <c r="D70" s="805" t="e">
        <f>IF(IT&gt;=4," ",IF(EtaAopt&lt;=EtahAMAX,IF(IT=1,0.4,IF(IT=2,0.45,IF(IT=3,0.45))),((1-EtaAopt/100)/(1-EtahAMAX/100))*IF(IT=1,0.4,IF(IT=2,0.45,IF(IT=3,0.45)))))</f>
        <v>#DIV/0!</v>
      </c>
      <c r="E70" s="866" t="e">
        <f>IF(IT&gt;=4," ",IF(EtaAopt&lt;=EtahAMAX,IF(IT=1,-NQE+0.4,IF(IT=2,-NQE+0.45,IF(IT=3,-NQE+0.5))),((1-EtaAopt/100)/(1-EtahAMAX/100))*IF(IT=1,-NQE+0.4,IF(IT=2,-NQE+0.45,IF(IT=3,-NQE+0.5)))))</f>
        <v>#DIV/0!</v>
      </c>
      <c r="F70" s="866" t="e">
        <f>IF(EtaAopt&lt;=EtahAMAX,IF(IT=1,-2.9*NQE+1.65,IF(IT=2,-2.9*NQE+1.65,IF(IT=3,-2.9*NQE+1.65,IF(IT=4,1.23," ")))),((1-EtaAopt/100)/(1-EtahAMAX/100))*IF(IT=1,-2.9*NQE+1.65,IF(IT=2,-2.9*NQE+1.65,IF(IT=3,-2.9*NQE+1.65,IF(IT=4,1.23," ")))))</f>
        <v>#DIV/0!</v>
      </c>
      <c r="G70" s="866" t="e">
        <f>IF(EtaAopt&lt;=EtahAMAX,IF(IT=1,3.4*NQE+0.55,IF(IT=2,3.4*NQE+1.35,IF(IT=3,3.4*NQE+1.55,IF(IT=4,2.45," ")))),((1-EtaAopt/100)/(1-EtahAMAX/100))*IF(IT=1,3.4*NQE+0.55,IF(IT=2,3.4*NQE+1.35,IF(IT=3,3.4*NQE+1.55,IF(IT=4,2.45," ")))))</f>
        <v>#DIV/0!</v>
      </c>
      <c r="H70" s="866" t="e">
        <f>IF(IT&gt;=4," ",IF(EtaAopt&lt;=EtahAMAX,IF(IT=1,0.5*NQE+0.05,IF(IT=2,0.5*NQE+0.05,IF(IT=3,0.5*NQE+0.05))),((1-EtaAopt/100)/(1-EtahAMAX/100))*IF(IT=1,0.5*NQE+0.05,IF(IT=2,0.5*NQE+0.05,IF(IT=3,0.5*NQE+0.05)))))</f>
        <v>#DIV/0!</v>
      </c>
      <c r="I70" s="519"/>
      <c r="J70" s="520"/>
      <c r="K70" s="520"/>
      <c r="L70" s="912"/>
      <c r="M70" s="913"/>
      <c r="N70" s="914"/>
      <c r="O70" s="915"/>
      <c r="P70" s="915"/>
      <c r="Q70" s="914"/>
      <c r="T70" s="329"/>
      <c r="U70" s="329"/>
      <c r="V70" s="329"/>
      <c r="W70" s="329"/>
      <c r="X70" s="329"/>
      <c r="Y70" s="329"/>
      <c r="Z70" s="329"/>
      <c r="AA70" s="329"/>
      <c r="AB70" s="329"/>
    </row>
    <row r="71" spans="1:28" ht="18" customHeight="1">
      <c r="A71" s="47"/>
      <c r="B71" s="858" t="s">
        <v>458</v>
      </c>
      <c r="C71" s="450"/>
      <c r="D71" s="805" t="e">
        <f>IF(IT=1,-0.5*NQE+0.33,IF(IT=2,-0.5*NQE+0.34,IF(IT=3,-0.5*NQE+0.31,IF(IT=4," "," "))))</f>
        <v>#DIV/0!</v>
      </c>
      <c r="E71" s="866" t="e">
        <f>IF(IT=1,-1.4*NQE+0.6,IF(IT=2,-1.4*NQE+0.57,IF(IT=3,-1.4*NQE+0.53,IF(IT=4," "," "))))</f>
        <v>#DIV/0!</v>
      </c>
      <c r="F71" s="866" t="e">
        <f>IF(IT=1,-3.3*NQE+1.29,IF(IT=2,-3.3*NQE+1.23,IF(IT=3,-3.3*NQE+0.96,IF(IT=4,0.19," "))))</f>
        <v>#DIV/0!</v>
      </c>
      <c r="G71" s="866" t="e">
        <f>IF(IT=1,-1.3*NQE+0.9,IF(IT=2,-1.3*NQE+0.87,IF(IT=3,-1.3*NQE+0.79,IF(IT=4,1.03," "))))</f>
        <v>#DIV/0!</v>
      </c>
      <c r="H71" s="866">
        <f>IF(IT=1,0.28,IF(IT=2,0.31,IF(IT=3,0.27,IF(IT=4," "," "))))</f>
        <v>0.31</v>
      </c>
      <c r="I71" s="519"/>
      <c r="J71" s="520"/>
      <c r="K71" s="520"/>
      <c r="L71" s="916"/>
      <c r="M71" s="756"/>
      <c r="N71" s="756"/>
      <c r="O71" s="756"/>
      <c r="P71" s="756"/>
      <c r="Q71" s="756"/>
      <c r="T71" s="329"/>
      <c r="U71" s="329"/>
      <c r="V71" s="329"/>
      <c r="W71" s="329"/>
      <c r="X71" s="329"/>
      <c r="Y71" s="329"/>
      <c r="Z71" s="329"/>
      <c r="AA71" s="329"/>
      <c r="AB71" s="329"/>
    </row>
    <row r="72" spans="1:28" ht="20.25" customHeight="1">
      <c r="A72" s="47"/>
      <c r="B72" s="858" t="s">
        <v>280</v>
      </c>
      <c r="C72" s="450"/>
      <c r="D72" s="452" t="e">
        <f>IF(D71=" ", " ",D71* 5*80000)</f>
        <v>#DIV/0!</v>
      </c>
      <c r="E72" s="453" t="e">
        <f>IF(E71=" ", " ",E71* 5*80000)</f>
        <v>#DIV/0!</v>
      </c>
      <c r="F72" s="453" t="e">
        <f>F71*5*80000</f>
        <v>#DIV/0!</v>
      </c>
      <c r="G72" s="453" t="e">
        <f>G71*IF(IT=4,500000,5*80000)</f>
        <v>#DIV/0!</v>
      </c>
      <c r="H72" s="454">
        <f>IF(H71=" ", " ",H71* 5*80000)</f>
        <v>124000</v>
      </c>
      <c r="I72" s="516"/>
      <c r="J72" s="520"/>
      <c r="K72" s="520"/>
      <c r="L72" s="917"/>
      <c r="M72" s="756"/>
      <c r="N72" s="756"/>
      <c r="O72" s="756"/>
      <c r="P72" s="756"/>
      <c r="Q72" s="756"/>
      <c r="T72" s="329"/>
      <c r="U72" s="329"/>
      <c r="V72" s="329"/>
      <c r="W72" s="329"/>
      <c r="X72" s="329"/>
      <c r="Y72" s="329"/>
      <c r="Z72" s="329"/>
      <c r="AA72" s="329"/>
      <c r="AB72" s="329"/>
    </row>
    <row r="73" spans="1:28" ht="10.5" customHeight="1">
      <c r="A73" s="47"/>
      <c r="B73" s="48"/>
      <c r="C73" s="48"/>
      <c r="D73" s="48"/>
      <c r="E73" s="523"/>
      <c r="F73" s="520"/>
      <c r="G73" s="520"/>
      <c r="H73" s="520"/>
      <c r="I73" s="517"/>
      <c r="J73" s="517"/>
      <c r="K73" s="520"/>
      <c r="L73" s="906"/>
      <c r="M73" s="756"/>
      <c r="N73" s="756"/>
      <c r="O73" s="756"/>
      <c r="P73" s="756"/>
      <c r="Q73" s="756"/>
      <c r="T73" s="329"/>
      <c r="U73" s="329"/>
      <c r="V73" s="329"/>
      <c r="W73" s="329"/>
      <c r="X73" s="329"/>
      <c r="Y73" s="329"/>
      <c r="Z73" s="329"/>
      <c r="AA73" s="329"/>
      <c r="AB73" s="329"/>
    </row>
    <row r="74" spans="1:28" ht="17.25" customHeight="1">
      <c r="A74" s="54" t="s">
        <v>122</v>
      </c>
      <c r="B74" s="69" t="s">
        <v>223</v>
      </c>
      <c r="C74" s="48"/>
      <c r="D74" s="48"/>
      <c r="E74" s="523"/>
      <c r="F74" s="520"/>
      <c r="G74" s="520"/>
      <c r="H74" s="520"/>
      <c r="I74" s="520"/>
      <c r="J74" s="520"/>
      <c r="K74" s="520"/>
      <c r="L74" s="916"/>
      <c r="M74" s="918"/>
      <c r="N74" s="918"/>
      <c r="O74" s="918"/>
      <c r="P74" s="918"/>
      <c r="Q74" s="918"/>
      <c r="T74" s="329"/>
      <c r="U74" s="329"/>
      <c r="V74" s="329"/>
      <c r="W74" s="329"/>
      <c r="X74" s="329"/>
      <c r="Y74" s="329"/>
      <c r="Z74" s="329"/>
      <c r="AA74" s="329"/>
      <c r="AB74" s="329"/>
    </row>
    <row r="75" spans="1:28" ht="19.5" customHeight="1">
      <c r="A75" s="47"/>
      <c r="B75" s="444"/>
      <c r="C75" s="445"/>
      <c r="D75" s="585" t="s">
        <v>117</v>
      </c>
      <c r="E75" s="585" t="s">
        <v>118</v>
      </c>
      <c r="F75" s="585" t="s">
        <v>271</v>
      </c>
      <c r="G75" s="585" t="s">
        <v>119</v>
      </c>
      <c r="H75" s="585" t="s">
        <v>120</v>
      </c>
      <c r="I75" s="520"/>
      <c r="J75" s="520"/>
      <c r="K75" s="520"/>
      <c r="L75" s="916"/>
      <c r="M75" s="915"/>
      <c r="N75" s="915"/>
      <c r="O75" s="915"/>
      <c r="P75" s="915"/>
      <c r="Q75" s="915"/>
      <c r="T75" s="329"/>
      <c r="U75" s="329"/>
      <c r="V75" s="329"/>
      <c r="W75" s="329"/>
      <c r="X75" s="329"/>
      <c r="Y75" s="329"/>
      <c r="Z75" s="329"/>
      <c r="AA75" s="329"/>
      <c r="AB75" s="329"/>
    </row>
    <row r="76" spans="1:28" ht="18.75" customHeight="1">
      <c r="A76" s="47"/>
      <c r="B76" s="857" t="s">
        <v>459</v>
      </c>
      <c r="C76" s="450"/>
      <c r="D76" s="806" t="e">
        <f>IF(D70=" "," ",D70*((D72*D65+(7000000/ReAopt))^0.2-(D72*D66+(7000000/ReB))^0.2)/100)</f>
        <v>#DIV/0!</v>
      </c>
      <c r="E76" s="806" t="e">
        <f>IF(E70=" "," ",E70*((E72*E65+(7000000/ReAopt))^0.2-(E72*E66+(7000000/ReB))^0.2)/100)</f>
        <v>#DIV/0!</v>
      </c>
      <c r="F76" s="806" t="e">
        <f>F70*((F72*F65+(7000000/ReAopt))^0.2-(F72*F66+(7000000/ReB))^0.2)/100</f>
        <v>#DIV/0!</v>
      </c>
      <c r="G76" s="806" t="e">
        <f>G70*((G72*G65+(7000000/ReAopt))^0.2-(G72*G66+(7000000/ReB))^0.2)/100</f>
        <v>#DIV/0!</v>
      </c>
      <c r="H76" s="806" t="e">
        <f>IF(H70=" "," ",H70*((H72*H65+(7000000/ReAopt))^0.2-(H72*H66+(7000000/ReB))^0.2)/100)</f>
        <v>#DIV/0!</v>
      </c>
      <c r="I76" s="518"/>
      <c r="J76" s="520"/>
      <c r="K76" s="520"/>
      <c r="L76" s="916"/>
      <c r="M76" s="915"/>
      <c r="N76" s="915"/>
      <c r="O76" s="915"/>
      <c r="P76" s="915"/>
      <c r="Q76" s="915"/>
      <c r="T76" s="329"/>
      <c r="U76" s="329"/>
      <c r="V76" s="329"/>
      <c r="W76" s="329"/>
      <c r="X76" s="329"/>
      <c r="Y76" s="329"/>
      <c r="Z76" s="329"/>
      <c r="AA76" s="329"/>
      <c r="AB76" s="329"/>
    </row>
    <row r="77" spans="1:28" ht="20.149999999999999" customHeight="1">
      <c r="A77" s="47"/>
      <c r="B77" s="857" t="s">
        <v>460</v>
      </c>
      <c r="C77" s="450"/>
      <c r="D77" s="456"/>
      <c r="E77" s="457"/>
      <c r="F77" s="458" t="e">
        <f>IF(IT=4,F76+G76,SUM(D76,E76,F76,G76,H76))</f>
        <v>#DIV/0!</v>
      </c>
      <c r="G77" s="457"/>
      <c r="H77" s="367"/>
      <c r="I77" s="520"/>
      <c r="J77" s="520"/>
      <c r="K77" s="520"/>
      <c r="L77" s="916"/>
      <c r="M77" s="915"/>
      <c r="N77" s="915"/>
      <c r="O77" s="915"/>
      <c r="P77" s="915"/>
      <c r="Q77" s="915"/>
      <c r="T77" s="329"/>
      <c r="U77" s="329"/>
      <c r="V77" s="329"/>
      <c r="W77" s="329"/>
      <c r="X77" s="329"/>
      <c r="Y77" s="329"/>
      <c r="Z77" s="329"/>
      <c r="AA77" s="329"/>
      <c r="AB77" s="329"/>
    </row>
    <row r="78" spans="1:28" ht="7.5" customHeight="1">
      <c r="A78" s="47"/>
      <c r="B78" s="49"/>
      <c r="C78" s="49"/>
      <c r="D78" s="49"/>
      <c r="E78" s="523"/>
      <c r="F78" s="459"/>
      <c r="G78" s="520"/>
      <c r="H78" s="520"/>
      <c r="I78" s="520"/>
      <c r="J78" s="520"/>
      <c r="K78" s="520"/>
      <c r="L78" s="912"/>
      <c r="M78" s="914"/>
      <c r="N78" s="914"/>
      <c r="O78" s="915"/>
      <c r="P78" s="915"/>
      <c r="Q78" s="914"/>
      <c r="T78" s="329"/>
      <c r="U78" s="329"/>
      <c r="V78" s="329"/>
      <c r="W78" s="329"/>
      <c r="X78" s="329"/>
      <c r="Y78" s="329"/>
      <c r="Z78" s="329"/>
      <c r="AA78" s="329"/>
      <c r="AB78" s="329"/>
    </row>
    <row r="79" spans="1:28" ht="20.149999999999999" customHeight="1">
      <c r="A79" s="54" t="s">
        <v>123</v>
      </c>
      <c r="B79" s="69" t="s">
        <v>224</v>
      </c>
      <c r="C79" s="49"/>
      <c r="D79" s="49"/>
      <c r="E79" s="523"/>
      <c r="F79" s="459"/>
      <c r="G79" s="435"/>
      <c r="H79" s="520"/>
      <c r="I79" s="520"/>
      <c r="J79" s="520"/>
      <c r="K79" s="520"/>
      <c r="L79" s="916"/>
      <c r="M79" s="756"/>
      <c r="N79" s="756"/>
      <c r="O79" s="756"/>
      <c r="P79" s="756"/>
      <c r="Q79" s="756"/>
      <c r="T79" s="329"/>
      <c r="U79" s="329"/>
      <c r="V79" s="329"/>
      <c r="W79" s="329"/>
      <c r="X79" s="329"/>
      <c r="Y79" s="329"/>
      <c r="Z79" s="329"/>
      <c r="AA79" s="329"/>
      <c r="AB79" s="329"/>
    </row>
    <row r="80" spans="1:28" ht="20.149999999999999" customHeight="1">
      <c r="A80" s="47"/>
      <c r="B80" s="444"/>
      <c r="C80" s="445"/>
      <c r="D80" s="585" t="s">
        <v>117</v>
      </c>
      <c r="E80" s="585" t="s">
        <v>118</v>
      </c>
      <c r="F80" s="585" t="s">
        <v>271</v>
      </c>
      <c r="G80" s="585" t="s">
        <v>119</v>
      </c>
      <c r="H80" s="585" t="s">
        <v>120</v>
      </c>
      <c r="I80" s="520"/>
      <c r="J80" s="520"/>
      <c r="K80" s="520"/>
      <c r="L80" s="906"/>
      <c r="M80" s="756"/>
      <c r="N80" s="756"/>
      <c r="O80" s="756"/>
      <c r="P80" s="756"/>
      <c r="Q80" s="756"/>
      <c r="T80" s="329"/>
      <c r="U80" s="329"/>
      <c r="V80" s="329"/>
      <c r="W80" s="329"/>
      <c r="X80" s="329"/>
      <c r="Y80" s="329"/>
      <c r="Z80" s="329"/>
      <c r="AA80" s="329"/>
      <c r="AB80" s="329"/>
    </row>
    <row r="81" spans="1:28" ht="20.149999999999999" customHeight="1">
      <c r="A81" s="47"/>
      <c r="B81" s="857" t="s">
        <v>461</v>
      </c>
      <c r="C81" s="450"/>
      <c r="D81" s="806" t="e">
        <f>IF(Ic=3, "-",IF(D70= " ", " ",D70*(( D72*D65+(7000000/ReAi))^0.2-(D72*D66+(7000000/ReB))^0.2)/100))</f>
        <v>#DIV/0!</v>
      </c>
      <c r="E81" s="806" t="e">
        <f>IF(Ic=3, "-",IF(E70=" "," ",E70*((E72*E65+(7000000/ReAi))^0.2-(E72*E66+(7000000/ReB))^0.2)/100))</f>
        <v>#DIV/0!</v>
      </c>
      <c r="F81" s="806" t="e">
        <f>IF(Ic=3, "-",F70*((F72*F65+(7000000/ReAi))^0.2-(F72*F66+(7000000/ReB))^0.2)/100)</f>
        <v>#DIV/0!</v>
      </c>
      <c r="G81" s="806" t="e">
        <f>IF(Ic=3, "-",G70*((G72*G65+(7000000/ReAi))^0.2-(G72*G66+(7000000/ReB))^0.2)/100)</f>
        <v>#DIV/0!</v>
      </c>
      <c r="H81" s="806" t="e">
        <f>IF(Ic=3, "-",IF(H70=" "," ",H70*((H72*H65+(7000000/ReAi))^0.2-(H72*H66+(7000000/ReB))^0.2)/100))</f>
        <v>#DIV/0!</v>
      </c>
      <c r="I81" s="520"/>
      <c r="J81" s="520"/>
      <c r="K81" s="520"/>
      <c r="L81" s="906"/>
      <c r="M81" s="756"/>
      <c r="N81" s="756"/>
      <c r="O81" s="756"/>
      <c r="P81" s="756"/>
      <c r="Q81" s="756"/>
      <c r="T81" s="329"/>
      <c r="U81" s="329"/>
      <c r="V81" s="329"/>
      <c r="W81" s="329"/>
      <c r="X81" s="329"/>
      <c r="Y81" s="329"/>
      <c r="Z81" s="329"/>
      <c r="AA81" s="329"/>
      <c r="AB81" s="329"/>
    </row>
    <row r="82" spans="1:28" ht="20.149999999999999" customHeight="1">
      <c r="A82" s="47"/>
      <c r="B82" s="857" t="s">
        <v>462</v>
      </c>
      <c r="C82" s="450"/>
      <c r="D82" s="366"/>
      <c r="E82" s="867"/>
      <c r="F82" s="460" t="e">
        <f>IF(IT=4,F81+G81,SUM(D81,E81,F81,G81,H81))</f>
        <v>#DIV/0!</v>
      </c>
      <c r="G82" s="867"/>
      <c r="H82" s="868"/>
      <c r="I82" s="520"/>
      <c r="J82" s="520"/>
      <c r="K82" s="520"/>
      <c r="L82" s="906"/>
      <c r="M82" s="756"/>
      <c r="N82" s="756"/>
      <c r="O82" s="756"/>
      <c r="P82" s="756"/>
      <c r="Q82" s="756"/>
      <c r="T82" s="329"/>
      <c r="U82" s="329"/>
      <c r="V82" s="329"/>
      <c r="W82" s="329"/>
      <c r="X82" s="329"/>
      <c r="Y82" s="329"/>
      <c r="Z82" s="329"/>
      <c r="AA82" s="329"/>
      <c r="AB82" s="329"/>
    </row>
    <row r="83" spans="1:28" ht="10.5" customHeight="1">
      <c r="A83" s="47"/>
      <c r="B83" s="48"/>
      <c r="C83" s="51"/>
      <c r="D83" s="51"/>
      <c r="E83" s="734"/>
      <c r="F83" s="521"/>
      <c r="G83" s="521"/>
      <c r="H83" s="521"/>
      <c r="I83" s="520"/>
      <c r="J83" s="520"/>
      <c r="K83" s="520"/>
      <c r="L83" s="906"/>
      <c r="M83" s="756"/>
      <c r="N83" s="756"/>
      <c r="O83" s="756"/>
      <c r="P83" s="756"/>
      <c r="Q83" s="756"/>
      <c r="T83" s="329"/>
      <c r="U83" s="329"/>
      <c r="V83" s="329"/>
      <c r="W83" s="329"/>
      <c r="X83" s="329"/>
      <c r="Y83" s="329"/>
      <c r="Z83" s="329"/>
      <c r="AA83" s="329"/>
      <c r="AB83" s="329"/>
    </row>
    <row r="84" spans="1:28" ht="20.149999999999999" customHeight="1">
      <c r="A84" s="221" t="s">
        <v>124</v>
      </c>
      <c r="B84" s="63" t="s">
        <v>225</v>
      </c>
      <c r="C84" s="51"/>
      <c r="D84" s="51"/>
      <c r="E84" s="734"/>
      <c r="F84" s="521"/>
      <c r="G84" s="521"/>
      <c r="H84" s="521"/>
      <c r="I84" s="520"/>
      <c r="J84" s="520"/>
      <c r="K84" s="520"/>
      <c r="L84" s="906"/>
      <c r="M84" s="756"/>
      <c r="N84" s="756"/>
      <c r="O84" s="756"/>
      <c r="P84" s="756"/>
      <c r="Q84" s="756"/>
      <c r="T84" s="329"/>
      <c r="U84" s="329"/>
      <c r="V84" s="329"/>
      <c r="W84" s="329"/>
      <c r="X84" s="329"/>
      <c r="Y84" s="329"/>
      <c r="Z84" s="329"/>
      <c r="AA84" s="329"/>
      <c r="AB84" s="329"/>
    </row>
    <row r="85" spans="1:28" ht="20.149999999999999" customHeight="1">
      <c r="A85" s="47"/>
      <c r="B85" s="859" t="s">
        <v>463</v>
      </c>
      <c r="C85" s="761" t="s">
        <v>40</v>
      </c>
      <c r="D85" s="861" t="e">
        <f>IF(Ic=3, "-",(EAi*(nB/nAi)^2*(DB/DA)^2*(IF(IT=3,(1+'Specific Energy Eff.'!F82),1/(1+'Specific Energy Eff.'!F82)))))</f>
        <v>#DIV/0!</v>
      </c>
      <c r="E85" s="734"/>
      <c r="F85" s="521"/>
      <c r="G85" s="521"/>
      <c r="H85" s="521"/>
      <c r="I85" s="520"/>
      <c r="J85" s="520"/>
      <c r="K85" s="520"/>
      <c r="L85" s="1141" t="s">
        <v>221</v>
      </c>
      <c r="M85" s="756"/>
      <c r="N85" s="756"/>
      <c r="O85" s="756"/>
      <c r="P85" s="756"/>
      <c r="Q85" s="756"/>
      <c r="T85" s="329"/>
      <c r="U85" s="329"/>
      <c r="V85" s="329"/>
      <c r="W85" s="329"/>
      <c r="X85" s="329"/>
      <c r="Y85" s="329"/>
      <c r="Z85" s="329"/>
      <c r="AA85" s="329"/>
      <c r="AB85" s="329"/>
    </row>
    <row r="86" spans="1:28" ht="16">
      <c r="A86" s="47"/>
      <c r="B86" s="428"/>
      <c r="C86" s="862"/>
      <c r="D86" s="51"/>
      <c r="E86" s="734"/>
      <c r="F86" s="521"/>
      <c r="G86" s="521"/>
      <c r="H86" s="521"/>
      <c r="I86" s="520"/>
      <c r="J86" s="520"/>
      <c r="K86" s="520"/>
      <c r="L86" s="1141" t="s">
        <v>222</v>
      </c>
      <c r="M86" s="756"/>
      <c r="N86" s="756"/>
      <c r="O86" s="756"/>
      <c r="P86" s="756"/>
      <c r="Q86" s="756"/>
      <c r="T86" s="329"/>
      <c r="U86" s="329"/>
      <c r="V86" s="329"/>
      <c r="W86" s="329"/>
      <c r="X86" s="329"/>
      <c r="Y86" s="329"/>
      <c r="Z86" s="329"/>
      <c r="AA86" s="329"/>
      <c r="AB86" s="329"/>
    </row>
    <row r="87" spans="1:28" ht="20.149999999999999" customHeight="1">
      <c r="A87" s="47"/>
      <c r="B87" s="860" t="s">
        <v>464</v>
      </c>
      <c r="C87" s="863" t="s">
        <v>40</v>
      </c>
      <c r="D87" s="861" t="e">
        <f>EAopt*((nB/nAopt)^2)*((DB/DA)^2)*(IF(IT=3,(1+'Specific Energy Eff.'!F77),1/(1+'Specific Energy Eff.'!F77)))</f>
        <v>#DIV/0!</v>
      </c>
      <c r="E87" s="734"/>
      <c r="F87" s="521"/>
      <c r="G87" s="521"/>
      <c r="H87" s="521"/>
      <c r="I87" s="520"/>
      <c r="J87" s="520"/>
      <c r="K87" s="520"/>
      <c r="L87" s="906"/>
      <c r="M87" s="756"/>
      <c r="N87" s="756"/>
      <c r="O87" s="756"/>
      <c r="P87" s="756"/>
      <c r="Q87" s="756"/>
      <c r="T87" s="329"/>
      <c r="U87" s="329"/>
      <c r="V87" s="329"/>
      <c r="W87" s="329"/>
      <c r="X87" s="329"/>
      <c r="Y87" s="329"/>
      <c r="Z87" s="329"/>
      <c r="AA87" s="329"/>
      <c r="AB87" s="329"/>
    </row>
    <row r="88" spans="1:28" ht="20.149999999999999" customHeight="1">
      <c r="A88" s="1142"/>
      <c r="B88" s="119"/>
      <c r="C88" s="119"/>
      <c r="D88" s="119"/>
      <c r="E88" s="1143"/>
      <c r="F88" s="328"/>
      <c r="G88" s="328"/>
      <c r="H88" s="328"/>
      <c r="I88" s="756"/>
      <c r="J88" s="756"/>
      <c r="K88" s="756"/>
      <c r="L88" s="906"/>
      <c r="M88" s="756"/>
      <c r="N88" s="756"/>
      <c r="O88" s="756"/>
      <c r="P88" s="756"/>
      <c r="Q88" s="756"/>
      <c r="T88" s="329"/>
      <c r="U88" s="329"/>
      <c r="V88" s="329"/>
      <c r="W88" s="329"/>
      <c r="X88" s="329"/>
      <c r="Y88" s="329"/>
      <c r="Z88" s="329"/>
      <c r="AA88" s="329"/>
      <c r="AB88" s="329"/>
    </row>
    <row r="89" spans="1:28" ht="20.149999999999999" customHeight="1">
      <c r="T89" s="329"/>
      <c r="U89" s="329"/>
      <c r="V89" s="329"/>
      <c r="W89" s="329"/>
      <c r="X89" s="329"/>
      <c r="Y89" s="329"/>
      <c r="Z89" s="329"/>
      <c r="AA89" s="329"/>
      <c r="AB89" s="329"/>
    </row>
    <row r="91" spans="1:28" ht="20.149999999999999" customHeight="1">
      <c r="C91" s="324"/>
    </row>
    <row r="95" spans="1:28" ht="20.149999999999999" customHeight="1">
      <c r="C95" s="325"/>
    </row>
  </sheetData>
  <sheetProtection formatCells="0" formatColumns="0" formatRows="0"/>
  <mergeCells count="4">
    <mergeCell ref="E53:K54"/>
    <mergeCell ref="L64:Q69"/>
    <mergeCell ref="C7:D7"/>
    <mergeCell ref="I5:J5"/>
  </mergeCells>
  <conditionalFormatting sqref="F20">
    <cfRule type="containsText" dxfId="1" priority="1" operator="containsText" text="Table">
      <formula>NOT(ISERROR(SEARCH("Table",F20)))</formula>
    </cfRule>
  </conditionalFormatting>
  <pageMargins left="0.70866141732283472" right="0.70866141732283472" top="0.74803149606299213" bottom="0.74803149606299213" header="0.31496062992125984" footer="0.31496062992125984"/>
  <pageSetup paperSize="9" scale="70" fitToHeight="2" orientation="portrait" verticalDpi="598" r:id="rId1"/>
  <rowBreaks count="1" manualBreakCount="1">
    <brk id="51"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showGridLines="0" zoomScale="70" zoomScaleNormal="70" zoomScaleSheetLayoutView="63" workbookViewId="0">
      <selection activeCell="F17" sqref="F17"/>
    </sheetView>
  </sheetViews>
  <sheetFormatPr defaultColWidth="10.26953125" defaultRowHeight="20.149999999999999" customHeight="1"/>
  <cols>
    <col min="1" max="1" width="4.7265625" style="342" customWidth="1"/>
    <col min="2" max="2" width="30.7265625" style="342" customWidth="1"/>
    <col min="3" max="3" width="21.7265625" style="342" customWidth="1"/>
    <col min="4" max="4" width="17.7265625" style="342" customWidth="1"/>
    <col min="5" max="5" width="30.7265625" style="342" customWidth="1"/>
    <col min="6" max="6" width="21.7265625" style="342" customWidth="1"/>
    <col min="7" max="8" width="17.7265625" style="342" customWidth="1"/>
    <col min="9" max="9" width="32" style="342" customWidth="1"/>
    <col min="10" max="10" width="5.54296875" style="342" customWidth="1"/>
    <col min="11" max="16" width="14.453125" style="342" customWidth="1"/>
    <col min="17" max="16384" width="10.26953125" style="342"/>
  </cols>
  <sheetData>
    <row r="1" spans="1:13" s="343" customFormat="1" ht="18">
      <c r="A1" s="177"/>
      <c r="B1" s="178"/>
      <c r="C1" s="767" t="s">
        <v>287</v>
      </c>
      <c r="D1" s="179"/>
      <c r="E1" s="180"/>
      <c r="F1" s="180"/>
      <c r="G1" s="703"/>
      <c r="H1" s="704"/>
      <c r="I1" s="1144"/>
      <c r="J1" s="1145"/>
      <c r="K1" s="1146"/>
      <c r="L1" s="1147"/>
      <c r="M1" s="1147"/>
    </row>
    <row r="2" spans="1:13" s="344" customFormat="1" ht="15.5">
      <c r="A2" s="181"/>
      <c r="B2" s="182" t="str">
        <f>IF(D9=4,"For axial flow machines, no scale effect on power efficiency is considered."," ")</f>
        <v xml:space="preserve"> </v>
      </c>
      <c r="C2" s="181"/>
      <c r="D2" s="181"/>
      <c r="E2" s="181"/>
      <c r="F2" s="181"/>
      <c r="G2" s="569"/>
      <c r="H2" s="569"/>
      <c r="I2" s="1148"/>
    </row>
    <row r="3" spans="1:13" s="344" customFormat="1" ht="16.5" customHeight="1">
      <c r="A3" s="181"/>
      <c r="B3" s="182"/>
      <c r="C3" s="183"/>
      <c r="D3" s="184" t="s">
        <v>90</v>
      </c>
      <c r="E3" s="185"/>
      <c r="F3" s="286"/>
      <c r="G3" s="705" t="s">
        <v>80</v>
      </c>
      <c r="H3" s="569"/>
      <c r="I3" s="1148"/>
    </row>
    <row r="4" spans="1:13" s="331" customFormat="1" ht="5.15" customHeight="1">
      <c r="A4" s="186"/>
      <c r="B4" s="186"/>
      <c r="C4" s="186"/>
      <c r="D4" s="186"/>
      <c r="E4" s="186"/>
      <c r="F4" s="186"/>
      <c r="G4" s="571"/>
      <c r="H4" s="571"/>
      <c r="I4" s="1149"/>
      <c r="K4" s="330"/>
      <c r="L4" s="330"/>
      <c r="M4" s="330"/>
    </row>
    <row r="5" spans="1:13" s="331" customFormat="1" ht="18">
      <c r="A5" s="187"/>
      <c r="B5" s="134" t="s">
        <v>91</v>
      </c>
      <c r="C5" s="738" t="str">
        <f>'Specific Energy Eff.'!C5</f>
        <v xml:space="preserve"> </v>
      </c>
      <c r="D5" s="737"/>
      <c r="E5" s="189"/>
      <c r="F5" s="735" t="s">
        <v>92</v>
      </c>
      <c r="G5" s="1300">
        <f>RefNumb</f>
        <v>0</v>
      </c>
      <c r="H5" s="1301"/>
      <c r="I5" s="607"/>
      <c r="J5" s="1150"/>
      <c r="K5" s="330"/>
      <c r="L5" s="330"/>
      <c r="M5" s="330"/>
    </row>
    <row r="6" spans="1:13" s="331" customFormat="1" ht="5.15" customHeight="1">
      <c r="A6" s="187"/>
      <c r="B6" s="134"/>
      <c r="C6" s="190"/>
      <c r="D6" s="145"/>
      <c r="E6" s="146"/>
      <c r="F6" s="147"/>
      <c r="G6" s="698"/>
      <c r="H6" s="706"/>
      <c r="I6" s="1151"/>
      <c r="J6" s="1073"/>
      <c r="K6" s="330"/>
      <c r="L6" s="330"/>
      <c r="M6" s="330"/>
    </row>
    <row r="7" spans="1:13" s="331" customFormat="1" ht="17.5">
      <c r="A7" s="187"/>
      <c r="B7" s="134" t="s">
        <v>93</v>
      </c>
      <c r="C7" s="1297">
        <f ca="1">'Specific Energy Eff.'!C7:D7</f>
        <v>43321</v>
      </c>
      <c r="D7" s="1280"/>
      <c r="E7" s="146"/>
      <c r="F7" s="147"/>
      <c r="G7" s="698"/>
      <c r="H7" s="571"/>
      <c r="I7" s="1149"/>
      <c r="K7" s="330"/>
      <c r="L7" s="330"/>
      <c r="M7" s="330"/>
    </row>
    <row r="8" spans="1:13" s="331" customFormat="1" ht="14">
      <c r="A8" s="178"/>
      <c r="B8" s="49"/>
      <c r="C8" s="48"/>
      <c r="D8" s="186"/>
      <c r="E8" s="178"/>
      <c r="F8" s="178"/>
      <c r="G8" s="533"/>
      <c r="H8" s="533"/>
      <c r="I8" s="1152"/>
      <c r="J8" s="330"/>
      <c r="K8" s="330"/>
      <c r="L8" s="330"/>
      <c r="M8" s="330"/>
    </row>
    <row r="9" spans="1:13" s="331" customFormat="1" ht="17.5">
      <c r="A9" s="178"/>
      <c r="B9" s="747" t="s">
        <v>191</v>
      </c>
      <c r="C9" s="812" t="str">
        <f>IF(IT=1,"Francis turbine",IF(IT=2,"Pump Turbine (Turbine mode)",IF(IT=3,"Pump Turbine (Pump mode)", IF(IT=4,"Axial flow machines","???"))))</f>
        <v>Pump Turbine (Turbine mode)</v>
      </c>
      <c r="D9" s="196"/>
      <c r="E9" s="178"/>
      <c r="F9" s="563" t="str">
        <f>IF(Ic=3,"Conversion of the Optimum Point","Step "&amp;Ic&amp;" of the '2 step Method'")</f>
        <v>Step 1 of the '2 step Method'</v>
      </c>
      <c r="G9" s="570"/>
      <c r="H9" s="560"/>
      <c r="I9" s="194"/>
      <c r="J9" s="330"/>
      <c r="K9" s="330"/>
      <c r="L9" s="330"/>
      <c r="M9" s="330"/>
    </row>
    <row r="10" spans="1:13" s="331" customFormat="1" ht="14">
      <c r="A10" s="178"/>
      <c r="B10" s="86"/>
      <c r="C10" s="374"/>
      <c r="D10" s="375"/>
      <c r="E10" s="178"/>
      <c r="F10" s="376"/>
      <c r="G10" s="614"/>
      <c r="H10" s="614"/>
      <c r="I10" s="1152"/>
      <c r="J10" s="330"/>
      <c r="K10" s="330"/>
      <c r="L10" s="330"/>
      <c r="M10" s="330"/>
    </row>
    <row r="11" spans="1:13" s="331" customFormat="1" ht="15.75" customHeight="1">
      <c r="A11" s="130" t="s">
        <v>29</v>
      </c>
      <c r="B11" s="49"/>
      <c r="C11" s="55"/>
      <c r="D11" s="48"/>
      <c r="E11" s="178"/>
      <c r="F11" s="86"/>
      <c r="G11" s="533"/>
      <c r="H11" s="533"/>
      <c r="I11" s="1152"/>
      <c r="J11" s="330"/>
      <c r="K11" s="330"/>
      <c r="L11" s="330"/>
      <c r="M11" s="330"/>
    </row>
    <row r="12" spans="1:13" s="331" customFormat="1" ht="15.75" customHeight="1">
      <c r="A12" s="63"/>
      <c r="B12" s="49"/>
      <c r="C12" s="191" t="s">
        <v>125</v>
      </c>
      <c r="D12" s="192">
        <f>Ic</f>
        <v>1</v>
      </c>
      <c r="E12" s="178"/>
      <c r="F12" s="178"/>
      <c r="G12" s="533"/>
      <c r="H12" s="533"/>
      <c r="I12" s="1152"/>
      <c r="J12" s="330"/>
      <c r="K12" s="330"/>
      <c r="L12" s="330"/>
      <c r="M12" s="330"/>
    </row>
    <row r="13" spans="1:13" s="331" customFormat="1" ht="7.5" customHeight="1">
      <c r="A13" s="178"/>
      <c r="B13" s="49"/>
      <c r="C13" s="48"/>
      <c r="D13" s="186"/>
      <c r="E13" s="178"/>
      <c r="F13" s="178"/>
      <c r="G13" s="533"/>
      <c r="H13" s="533"/>
      <c r="I13" s="1152"/>
      <c r="J13" s="330"/>
      <c r="K13" s="330"/>
      <c r="L13" s="330"/>
      <c r="M13" s="330"/>
    </row>
    <row r="14" spans="1:13" s="331" customFormat="1" ht="14">
      <c r="A14" s="193" t="s">
        <v>126</v>
      </c>
      <c r="B14" s="178"/>
      <c r="C14" s="49"/>
      <c r="D14" s="48"/>
      <c r="E14" s="178"/>
      <c r="F14" s="178"/>
      <c r="G14" s="533"/>
      <c r="H14" s="533"/>
      <c r="I14" s="902" t="s">
        <v>25</v>
      </c>
      <c r="J14" s="330"/>
      <c r="K14" s="330"/>
      <c r="L14" s="330"/>
      <c r="M14" s="330"/>
    </row>
    <row r="15" spans="1:13" s="331" customFormat="1" ht="5.15" customHeight="1">
      <c r="A15" s="178"/>
      <c r="B15" s="178"/>
      <c r="C15" s="194"/>
      <c r="D15" s="195"/>
      <c r="E15" s="178"/>
      <c r="F15" s="178"/>
      <c r="G15" s="533"/>
      <c r="H15" s="533"/>
      <c r="I15" s="1152"/>
      <c r="J15" s="330"/>
      <c r="K15" s="330"/>
      <c r="L15" s="330"/>
      <c r="M15" s="330"/>
    </row>
    <row r="16" spans="1:13" s="331" customFormat="1" ht="14">
      <c r="A16" s="193" t="s">
        <v>21</v>
      </c>
      <c r="B16" s="193" t="s">
        <v>96</v>
      </c>
      <c r="C16" s="63" t="str">
        <f>IF(Ic=2,"= REFERENCE MODEL","= TESTED MODEL")</f>
        <v>= TESTED MODEL</v>
      </c>
      <c r="D16" s="178"/>
      <c r="E16" s="178"/>
      <c r="F16" s="178"/>
      <c r="G16" s="533"/>
      <c r="H16" s="533"/>
      <c r="I16" s="1152"/>
      <c r="J16" s="330"/>
      <c r="K16" s="330"/>
      <c r="L16" s="330"/>
      <c r="M16" s="330"/>
    </row>
    <row r="17" spans="1:13" s="331" customFormat="1" ht="19.5">
      <c r="A17" s="178"/>
      <c r="B17" s="830" t="s">
        <v>297</v>
      </c>
      <c r="C17" s="373" t="s">
        <v>44</v>
      </c>
      <c r="D17" s="355" t="e">
        <f>NQE</f>
        <v>#DIV/0!</v>
      </c>
      <c r="E17" s="178"/>
      <c r="F17" s="178"/>
      <c r="G17" s="533"/>
      <c r="H17" s="533"/>
      <c r="I17" s="1152"/>
      <c r="J17" s="330"/>
      <c r="K17" s="330"/>
      <c r="L17" s="330"/>
      <c r="M17" s="330"/>
    </row>
    <row r="18" spans="1:13" s="331" customFormat="1" ht="19.5">
      <c r="A18" s="178"/>
      <c r="B18" s="830" t="s">
        <v>421</v>
      </c>
      <c r="C18" s="373" t="s">
        <v>37</v>
      </c>
      <c r="D18" s="356">
        <f>DA</f>
        <v>0</v>
      </c>
      <c r="E18" s="178"/>
      <c r="F18" s="178"/>
      <c r="G18" s="533"/>
      <c r="H18" s="533"/>
      <c r="I18" s="1152"/>
      <c r="J18" s="330"/>
      <c r="K18" s="330"/>
      <c r="L18" s="330"/>
      <c r="M18" s="330"/>
    </row>
    <row r="19" spans="1:13" s="331" customFormat="1" ht="19.5">
      <c r="A19" s="178"/>
      <c r="B19" s="830" t="s">
        <v>422</v>
      </c>
      <c r="C19" s="373" t="s">
        <v>44</v>
      </c>
      <c r="D19" s="357">
        <f>IF(Ic=3,ReAopt,ReAi)</f>
        <v>0</v>
      </c>
      <c r="E19" s="197"/>
      <c r="F19" s="178"/>
      <c r="G19" s="533"/>
      <c r="H19" s="533"/>
      <c r="I19" s="1152"/>
      <c r="J19" s="330"/>
      <c r="K19" s="330"/>
      <c r="L19" s="330"/>
      <c r="M19" s="330"/>
    </row>
    <row r="20" spans="1:13" s="331" customFormat="1" ht="19.5">
      <c r="A20" s="178"/>
      <c r="B20" s="830" t="s">
        <v>341</v>
      </c>
      <c r="C20" s="373" t="s">
        <v>127</v>
      </c>
      <c r="D20" s="358">
        <f>(2*RaTRA+RaTSA)/3</f>
        <v>0</v>
      </c>
      <c r="E20" s="178" t="s">
        <v>128</v>
      </c>
      <c r="F20" s="178"/>
      <c r="G20" s="533"/>
      <c r="H20" s="533"/>
      <c r="I20" s="1152"/>
      <c r="J20" s="330"/>
      <c r="K20" s="330"/>
      <c r="L20" s="330"/>
      <c r="M20" s="330"/>
    </row>
    <row r="21" spans="1:13" s="331" customFormat="1" ht="5.15" customHeight="1">
      <c r="A21" s="178"/>
      <c r="B21" s="86"/>
      <c r="C21" s="86"/>
      <c r="D21" s="87"/>
      <c r="E21" s="178"/>
      <c r="F21" s="178"/>
      <c r="G21" s="533"/>
      <c r="H21" s="533"/>
      <c r="I21" s="1152"/>
      <c r="J21" s="330"/>
      <c r="K21" s="330"/>
      <c r="L21" s="330"/>
      <c r="M21" s="330"/>
    </row>
    <row r="22" spans="1:13" s="331" customFormat="1" ht="14">
      <c r="A22" s="193" t="s">
        <v>36</v>
      </c>
      <c r="B22" s="193" t="s">
        <v>65</v>
      </c>
      <c r="C22" s="116" t="str">
        <f>IF(Ic=1,"= REFERENCE MODEL","= PROTOTYPE")</f>
        <v>= REFERENCE MODEL</v>
      </c>
      <c r="D22" s="198"/>
      <c r="E22" s="199"/>
      <c r="F22" s="199"/>
      <c r="G22" s="707"/>
      <c r="H22" s="533"/>
      <c r="I22" s="1152"/>
      <c r="J22" s="330"/>
      <c r="K22" s="330"/>
      <c r="L22" s="330"/>
      <c r="M22" s="330"/>
    </row>
    <row r="23" spans="1:13" s="331" customFormat="1" ht="19.5">
      <c r="A23" s="178"/>
      <c r="B23" s="830" t="s">
        <v>423</v>
      </c>
      <c r="C23" s="373" t="s">
        <v>37</v>
      </c>
      <c r="D23" s="359">
        <f>DB</f>
        <v>0</v>
      </c>
      <c r="E23" s="200"/>
      <c r="F23" s="178"/>
      <c r="G23" s="533"/>
      <c r="H23" s="533"/>
      <c r="I23" s="1152"/>
      <c r="J23" s="330"/>
      <c r="K23" s="330"/>
      <c r="L23" s="330"/>
      <c r="M23" s="330"/>
    </row>
    <row r="24" spans="1:13" s="331" customFormat="1" ht="19.5">
      <c r="A24" s="178"/>
      <c r="B24" s="830" t="s">
        <v>342</v>
      </c>
      <c r="C24" s="373" t="s">
        <v>44</v>
      </c>
      <c r="D24" s="357" t="e">
        <f>ReB</f>
        <v>#DIV/0!</v>
      </c>
      <c r="E24" s="200"/>
      <c r="F24" s="178"/>
      <c r="G24" s="533"/>
      <c r="H24" s="533"/>
      <c r="I24" s="1152"/>
      <c r="J24" s="330"/>
      <c r="K24" s="330"/>
      <c r="L24" s="330"/>
      <c r="M24" s="330"/>
    </row>
    <row r="25" spans="1:13" s="331" customFormat="1" ht="19.5">
      <c r="A25" s="178"/>
      <c r="B25" s="830" t="s">
        <v>343</v>
      </c>
      <c r="C25" s="373" t="s">
        <v>127</v>
      </c>
      <c r="D25" s="358">
        <f>(2*RaTRB+RaTSB)/3</f>
        <v>0.80000000000000016</v>
      </c>
      <c r="E25" s="200"/>
      <c r="F25" s="178"/>
      <c r="G25" s="533"/>
      <c r="H25" s="533"/>
      <c r="I25" s="1152"/>
      <c r="J25" s="330"/>
      <c r="K25" s="330"/>
      <c r="L25" s="330"/>
      <c r="M25" s="330"/>
    </row>
    <row r="26" spans="1:13" s="331" customFormat="1" ht="11.25" customHeight="1">
      <c r="A26" s="178"/>
      <c r="B26" s="86"/>
      <c r="C26" s="87"/>
      <c r="D26" s="201"/>
      <c r="E26" s="49"/>
      <c r="F26" s="178"/>
      <c r="G26" s="533"/>
      <c r="H26" s="533"/>
      <c r="I26" s="1152"/>
      <c r="J26" s="330"/>
      <c r="K26" s="330"/>
      <c r="L26" s="330"/>
      <c r="M26" s="330"/>
    </row>
    <row r="27" spans="1:13" s="331" customFormat="1" ht="18.5">
      <c r="A27" s="193" t="s">
        <v>236</v>
      </c>
      <c r="B27" s="178"/>
      <c r="C27" s="178"/>
      <c r="D27" s="178"/>
      <c r="E27" s="178"/>
      <c r="F27" s="178"/>
      <c r="G27" s="533"/>
      <c r="H27" s="533"/>
      <c r="I27" s="1152"/>
      <c r="J27" s="330"/>
      <c r="K27" s="1153"/>
      <c r="L27" s="1154"/>
      <c r="M27" s="1155"/>
    </row>
    <row r="28" spans="1:13" s="345" customFormat="1" ht="19.5">
      <c r="A28" s="202"/>
      <c r="B28" s="833" t="s">
        <v>344</v>
      </c>
      <c r="C28" s="360" t="e">
        <f>IF(IT=1,IF(-5.7*NQE+2&gt;1,-5.7*NQE+2,1),IF(IT=2,IF(-8.3*NQE+2.7&gt;1,-8.3*NQE+2.7,1),IF(IT=3,IF(-7.5*NQE+2.7&gt;1,-7.5*NQE+2.7,1),IF(IT=4," "," "))))</f>
        <v>#DIV/0!</v>
      </c>
      <c r="D28" s="178"/>
      <c r="E28" s="193"/>
      <c r="F28" s="193"/>
      <c r="G28" s="702"/>
      <c r="H28" s="702"/>
      <c r="I28" s="1156"/>
      <c r="J28" s="1157"/>
      <c r="K28" s="1153"/>
      <c r="L28" s="1154"/>
      <c r="M28" s="1155"/>
    </row>
    <row r="29" spans="1:13" s="331" customFormat="1" ht="5.15" customHeight="1">
      <c r="A29" s="178"/>
      <c r="B29" s="834"/>
      <c r="C29" s="361"/>
      <c r="D29" s="178"/>
      <c r="E29" s="178"/>
      <c r="F29" s="178"/>
      <c r="G29" s="533"/>
      <c r="H29" s="533"/>
      <c r="I29" s="1152"/>
      <c r="J29" s="330"/>
      <c r="K29" s="1153"/>
      <c r="L29" s="1154"/>
      <c r="M29" s="1155"/>
    </row>
    <row r="30" spans="1:13" s="331" customFormat="1" ht="19.5">
      <c r="A30" s="178"/>
      <c r="B30" s="830" t="s">
        <v>345</v>
      </c>
      <c r="C30" s="362" t="e">
        <f>100*IF(EtaAopt&lt;=EtahAMAX,IF(IT=1,(0.44+0.004/(NQE^2))/100,IF(IT=2,(0.97+0.012/(NQE^2))/100,IF(IT=3,(1.23+0.015/(NQE^2))/100,IF(IT=4,0," ")))),((1-EtaAopt/100)/(1-EtahAMAX/100))*IF(IT=1,(0.44+0.004/(NQE^2))/100,IF(IT=2,(0.97+0.012/(NQE^2))/100,IF(IT=3,(1.23+0.015/(NQE^2))/100,IF(IT=4,0," ")))))</f>
        <v>#DIV/0!</v>
      </c>
      <c r="D30" s="178"/>
      <c r="E30" s="178"/>
      <c r="F30" s="178"/>
      <c r="G30" s="533"/>
      <c r="H30" s="533"/>
      <c r="I30" s="1152"/>
      <c r="J30" s="330"/>
      <c r="K30" s="1153"/>
      <c r="L30" s="607"/>
      <c r="M30" s="607"/>
    </row>
    <row r="31" spans="1:13" s="331" customFormat="1" ht="5.15" customHeight="1">
      <c r="A31" s="178"/>
      <c r="B31" s="178"/>
      <c r="C31" s="195"/>
      <c r="D31" s="178"/>
      <c r="E31" s="178" t="s">
        <v>129</v>
      </c>
      <c r="F31" s="178"/>
      <c r="G31" s="707"/>
      <c r="H31" s="533"/>
      <c r="I31" s="1152"/>
      <c r="J31" s="330"/>
      <c r="M31" s="330"/>
    </row>
    <row r="32" spans="1:13" s="331" customFormat="1" ht="18.75" customHeight="1">
      <c r="A32" s="178"/>
      <c r="B32" s="830" t="s">
        <v>326</v>
      </c>
      <c r="C32" s="203"/>
      <c r="D32" s="205" t="e">
        <f>IF(IT=4,0,(RaTA/1000)/DA)</f>
        <v>#DIV/0!</v>
      </c>
      <c r="E32" s="830" t="s">
        <v>330</v>
      </c>
      <c r="F32" s="203"/>
      <c r="G32" s="572" t="e">
        <f>IF(IT=4,0,(RaTB/1000)/DB)</f>
        <v>#DIV/0!</v>
      </c>
      <c r="H32" s="533"/>
      <c r="I32" s="1152"/>
      <c r="J32" s="330"/>
      <c r="M32" s="330"/>
    </row>
    <row r="33" spans="1:13" s="331" customFormat="1" ht="18.75" customHeight="1">
      <c r="A33" s="178"/>
      <c r="B33" s="830" t="s">
        <v>327</v>
      </c>
      <c r="C33" s="203"/>
      <c r="D33" s="205" t="e">
        <f>IF(IT=4,0,75000*kT*D32)</f>
        <v>#DIV/0!</v>
      </c>
      <c r="E33" s="830" t="s">
        <v>331</v>
      </c>
      <c r="F33" s="204"/>
      <c r="G33" s="572" t="e">
        <f>IF(IT=4,0,75000*kT*G32)</f>
        <v>#DIV/0!</v>
      </c>
      <c r="H33" s="533"/>
      <c r="I33" s="1152"/>
      <c r="J33" s="330"/>
      <c r="M33" s="330"/>
    </row>
    <row r="34" spans="1:13" s="331" customFormat="1" ht="18.75" customHeight="1">
      <c r="A34" s="178"/>
      <c r="B34" s="830" t="s">
        <v>328</v>
      </c>
      <c r="C34" s="203"/>
      <c r="D34" s="205" t="e">
        <f>IF(Ic=3, "-",IF(IT=4,0,7000000/ReAi))</f>
        <v>#DIV/0!</v>
      </c>
      <c r="E34" s="830" t="s">
        <v>332</v>
      </c>
      <c r="F34" s="203"/>
      <c r="G34" s="572" t="e">
        <f>IF(IT=4,0,7000000/ReB)</f>
        <v>#DIV/0!</v>
      </c>
      <c r="H34" s="533"/>
      <c r="I34" s="1152"/>
      <c r="J34" s="330"/>
      <c r="M34" s="330"/>
    </row>
    <row r="35" spans="1:13" s="331" customFormat="1" ht="19.5">
      <c r="A35" s="178"/>
      <c r="B35" s="830" t="s">
        <v>329</v>
      </c>
      <c r="C35" s="203"/>
      <c r="D35" s="205" t="e">
        <f>IF(Ic=3, "-",(D33+D34)^0.2)</f>
        <v>#DIV/0!</v>
      </c>
      <c r="E35" s="830" t="s">
        <v>333</v>
      </c>
      <c r="F35" s="206"/>
      <c r="G35" s="572" t="e">
        <f>(G33+G34)^0.2</f>
        <v>#DIV/0!</v>
      </c>
      <c r="H35" s="533"/>
      <c r="I35" s="1152"/>
      <c r="J35" s="330"/>
      <c r="M35" s="330"/>
    </row>
    <row r="36" spans="1:13" s="331" customFormat="1" ht="5.15" customHeight="1">
      <c r="A36" s="178"/>
      <c r="B36" s="178"/>
      <c r="C36" s="178"/>
      <c r="D36" s="178"/>
      <c r="E36" s="178"/>
      <c r="F36" s="178"/>
      <c r="G36" s="707"/>
      <c r="H36" s="533"/>
      <c r="I36" s="1152"/>
      <c r="J36" s="330"/>
      <c r="M36" s="330"/>
    </row>
    <row r="37" spans="1:13" s="331" customFormat="1" ht="19.5">
      <c r="A37" s="178"/>
      <c r="B37" s="830" t="s">
        <v>346</v>
      </c>
      <c r="C37" s="207" t="e">
        <f>IF(Ic=3, "-",IF(IT=4,0,dTref*($D$35-$G$35)/100))</f>
        <v>#DIV/0!</v>
      </c>
      <c r="D37" s="186"/>
      <c r="E37" s="186"/>
      <c r="F37" s="186"/>
      <c r="G37" s="571"/>
      <c r="H37" s="533"/>
      <c r="I37" s="1152"/>
      <c r="J37" s="330"/>
    </row>
    <row r="38" spans="1:13" s="331" customFormat="1" ht="14">
      <c r="A38" s="178"/>
      <c r="B38" s="186"/>
      <c r="C38" s="186"/>
      <c r="D38" s="186"/>
      <c r="E38" s="186"/>
      <c r="F38" s="186"/>
      <c r="G38" s="571"/>
      <c r="H38" s="533"/>
      <c r="I38" s="1152"/>
      <c r="J38" s="330"/>
    </row>
    <row r="39" spans="1:13" s="331" customFormat="1" ht="19.5">
      <c r="A39" s="178"/>
      <c r="B39" s="830" t="s">
        <v>334</v>
      </c>
      <c r="C39" s="203"/>
      <c r="D39" s="205" t="e">
        <f>IF(IT=4,0,7000000/ReAopt)</f>
        <v>#DIV/0!</v>
      </c>
      <c r="E39" s="830" t="s">
        <v>336</v>
      </c>
      <c r="F39" s="203"/>
      <c r="G39" s="572" t="e">
        <f>IF(IT=4,0,7000000/ReB)</f>
        <v>#DIV/0!</v>
      </c>
      <c r="H39" s="533"/>
      <c r="I39" s="1152"/>
      <c r="J39" s="330"/>
    </row>
    <row r="40" spans="1:13" s="331" customFormat="1" ht="19.5">
      <c r="A40" s="178"/>
      <c r="B40" s="830" t="s">
        <v>335</v>
      </c>
      <c r="C40" s="203"/>
      <c r="D40" s="205" t="e">
        <f>(D33+D39)^0.2</f>
        <v>#DIV/0!</v>
      </c>
      <c r="E40" s="830" t="s">
        <v>337</v>
      </c>
      <c r="F40" s="206"/>
      <c r="G40" s="572" t="e">
        <f>(G33+G39)^0.2</f>
        <v>#DIV/0!</v>
      </c>
      <c r="H40" s="533"/>
      <c r="I40" s="1152"/>
      <c r="J40" s="330"/>
    </row>
    <row r="41" spans="1:13" s="607" customFormat="1" ht="8.25" customHeight="1">
      <c r="A41" s="86"/>
      <c r="B41" s="850"/>
      <c r="C41" s="209"/>
      <c r="D41" s="210"/>
      <c r="E41" s="211"/>
      <c r="F41" s="212"/>
      <c r="G41" s="573"/>
      <c r="H41" s="533"/>
      <c r="I41" s="1152"/>
      <c r="J41" s="194"/>
    </row>
    <row r="42" spans="1:13" s="331" customFormat="1" ht="19.5">
      <c r="A42" s="178"/>
      <c r="B42" s="830" t="s">
        <v>338</v>
      </c>
      <c r="C42" s="363" t="e">
        <f>IF(IT=4,0,dTref*(D40-G40)/100)</f>
        <v>#DIV/0!</v>
      </c>
      <c r="D42" s="186"/>
      <c r="E42" s="186"/>
      <c r="F42" s="186"/>
      <c r="G42" s="571"/>
      <c r="H42" s="533"/>
      <c r="I42" s="1152"/>
      <c r="J42" s="330"/>
      <c r="K42" s="330"/>
      <c r="L42" s="330"/>
      <c r="M42" s="330"/>
    </row>
    <row r="43" spans="1:13" s="331" customFormat="1" ht="14">
      <c r="A43" s="330"/>
      <c r="E43" s="607"/>
      <c r="F43" s="607"/>
      <c r="G43" s="607"/>
      <c r="H43" s="194"/>
      <c r="I43" s="1158"/>
      <c r="J43" s="332"/>
      <c r="K43" s="330"/>
      <c r="L43" s="330"/>
      <c r="M43" s="330"/>
    </row>
    <row r="44" spans="1:13" s="331" customFormat="1" ht="14">
      <c r="A44" s="330"/>
      <c r="B44" s="330"/>
      <c r="C44" s="330"/>
      <c r="D44" s="330"/>
      <c r="E44" s="1159"/>
      <c r="F44" s="1159"/>
      <c r="H44" s="330"/>
      <c r="I44" s="332"/>
      <c r="J44" s="332"/>
      <c r="K44" s="330"/>
      <c r="L44" s="330"/>
      <c r="M44" s="330"/>
    </row>
    <row r="45" spans="1:13" s="331" customFormat="1" ht="14">
      <c r="A45" s="330"/>
      <c r="D45" s="330"/>
      <c r="E45" s="1159"/>
      <c r="F45" s="1159"/>
      <c r="H45" s="330"/>
      <c r="I45" s="332"/>
      <c r="J45" s="332"/>
      <c r="K45" s="330"/>
      <c r="L45" s="330"/>
      <c r="M45" s="330"/>
    </row>
    <row r="46" spans="1:13" s="331" customFormat="1" ht="17.5">
      <c r="A46" s="330"/>
      <c r="B46" s="333"/>
      <c r="C46" s="194"/>
      <c r="D46" s="330"/>
      <c r="E46" s="194"/>
      <c r="F46" s="194"/>
      <c r="G46" s="330"/>
      <c r="H46" s="330"/>
      <c r="I46" s="330"/>
      <c r="J46" s="330"/>
      <c r="K46" s="332"/>
      <c r="L46" s="330"/>
      <c r="M46" s="330"/>
    </row>
    <row r="47" spans="1:13" s="328" customFormat="1" ht="14">
      <c r="A47" s="334"/>
      <c r="B47" s="335"/>
      <c r="C47" s="335"/>
      <c r="D47" s="336"/>
      <c r="E47" s="330"/>
      <c r="F47" s="330"/>
      <c r="G47" s="330"/>
      <c r="H47" s="336"/>
      <c r="I47" s="120"/>
      <c r="J47" s="120"/>
      <c r="K47" s="337"/>
      <c r="L47" s="331"/>
    </row>
    <row r="48" spans="1:13" s="328" customFormat="1" ht="14">
      <c r="A48" s="334"/>
      <c r="B48" s="335"/>
      <c r="C48" s="335"/>
      <c r="D48" s="336"/>
      <c r="E48" s="330"/>
      <c r="F48" s="330"/>
      <c r="G48" s="330"/>
      <c r="H48" s="336"/>
      <c r="I48" s="120"/>
      <c r="J48" s="120"/>
      <c r="K48" s="331"/>
      <c r="L48" s="331"/>
    </row>
    <row r="49" spans="2:12" s="331" customFormat="1" ht="18">
      <c r="B49" s="338"/>
      <c r="C49" s="339"/>
      <c r="E49" s="340"/>
      <c r="F49" s="340"/>
      <c r="G49" s="336"/>
      <c r="K49" s="341"/>
      <c r="L49" s="328"/>
    </row>
    <row r="50" spans="2:12" ht="14">
      <c r="E50" s="340"/>
      <c r="F50" s="340"/>
      <c r="G50" s="336"/>
      <c r="K50" s="341"/>
      <c r="L50" s="328"/>
    </row>
    <row r="51" spans="2:12" ht="14">
      <c r="G51" s="331"/>
      <c r="K51" s="331"/>
      <c r="L51" s="331"/>
    </row>
  </sheetData>
  <sheetProtection formatCells="0" formatColumns="0" formatRows="0"/>
  <mergeCells count="2">
    <mergeCell ref="G5:H5"/>
    <mergeCell ref="C7:D7"/>
  </mergeCells>
  <pageMargins left="0.70866141732283472" right="0.70866141732283472" top="0.74803149606299213" bottom="0.74803149606299213" header="0.31496062992125984" footer="0.31496062992125984"/>
  <pageSetup paperSize="9" scale="57"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5"/>
  <sheetViews>
    <sheetView showGridLines="0" zoomScale="73" zoomScaleNormal="73" zoomScaleSheetLayoutView="63" workbookViewId="0">
      <selection activeCell="C4" sqref="C4:F4"/>
    </sheetView>
  </sheetViews>
  <sheetFormatPr defaultColWidth="10.26953125" defaultRowHeight="20.149999999999999" customHeight="1"/>
  <cols>
    <col min="1" max="1" width="5.7265625" style="259" customWidth="1"/>
    <col min="2" max="2" width="31.26953125" style="260" customWidth="1"/>
    <col min="3" max="3" width="13.26953125" style="260" customWidth="1"/>
    <col min="4" max="4" width="13.26953125" style="261" customWidth="1"/>
    <col min="5" max="5" width="3.7265625" style="260" customWidth="1"/>
    <col min="6" max="6" width="31.26953125" style="260" customWidth="1"/>
    <col min="7" max="7" width="13.26953125" style="260" customWidth="1"/>
    <col min="8" max="8" width="13.26953125" style="261" customWidth="1"/>
    <col min="9" max="9" width="20.54296875" style="260" customWidth="1"/>
    <col min="10" max="10" width="23.26953125" style="260" customWidth="1"/>
    <col min="11" max="11" width="10.81640625" style="262" customWidth="1"/>
    <col min="12" max="12" width="8.7265625" style="262" customWidth="1"/>
    <col min="13" max="13" width="10.26953125" style="262"/>
    <col min="14" max="16384" width="10.26953125" style="260"/>
  </cols>
  <sheetData>
    <row r="1" spans="1:14" s="346" customFormat="1" ht="30.75" customHeight="1">
      <c r="A1" s="213"/>
      <c r="B1" s="214"/>
      <c r="C1" s="828" t="s">
        <v>130</v>
      </c>
      <c r="D1" s="215"/>
      <c r="E1" s="214"/>
      <c r="F1" s="214"/>
      <c r="G1" s="214"/>
      <c r="H1" s="713"/>
      <c r="I1" s="714"/>
      <c r="J1" s="1160"/>
      <c r="K1" s="1161"/>
      <c r="L1" s="1162"/>
      <c r="M1" s="1163"/>
      <c r="N1" s="1163"/>
    </row>
    <row r="2" spans="1:14" s="346" customFormat="1" ht="18" customHeight="1">
      <c r="A2" s="54"/>
      <c r="B2" s="52"/>
      <c r="C2" s="216"/>
      <c r="D2" s="217" t="s">
        <v>90</v>
      </c>
      <c r="E2" s="51"/>
      <c r="F2" s="51"/>
      <c r="G2" s="286"/>
      <c r="H2" s="705" t="s">
        <v>80</v>
      </c>
      <c r="I2" s="569"/>
      <c r="J2" s="906"/>
      <c r="K2" s="1161"/>
      <c r="L2" s="1164" t="s">
        <v>33</v>
      </c>
      <c r="M2" s="1163"/>
      <c r="N2" s="1163"/>
    </row>
    <row r="3" spans="1:14" s="347" customFormat="1" ht="5.15" customHeight="1">
      <c r="A3" s="218"/>
      <c r="B3" s="140"/>
      <c r="C3" s="142"/>
      <c r="D3" s="142"/>
      <c r="E3" s="142"/>
      <c r="F3" s="142"/>
      <c r="G3" s="142"/>
      <c r="H3" s="715"/>
      <c r="I3" s="698"/>
      <c r="J3" s="1165"/>
      <c r="K3" s="1166"/>
      <c r="L3" s="1164"/>
      <c r="M3" s="1167"/>
      <c r="N3" s="1167"/>
    </row>
    <row r="4" spans="1:14" ht="21" customHeight="1">
      <c r="A4" s="218"/>
      <c r="B4" s="134" t="s">
        <v>91</v>
      </c>
      <c r="C4" s="738" t="str">
        <f>'Power Eff.'!C5</f>
        <v xml:space="preserve"> </v>
      </c>
      <c r="D4" s="739"/>
      <c r="E4" s="188"/>
      <c r="F4" s="189"/>
      <c r="G4" s="735" t="s">
        <v>92</v>
      </c>
      <c r="H4" s="1300">
        <f>RefNumb</f>
        <v>0</v>
      </c>
      <c r="I4" s="1279"/>
      <c r="J4" s="1168"/>
      <c r="K4" s="1169"/>
      <c r="L4" s="1170" t="s">
        <v>34</v>
      </c>
      <c r="M4" s="1171"/>
      <c r="N4" s="1171"/>
    </row>
    <row r="5" spans="1:14" s="348" customFormat="1" ht="5.15" customHeight="1">
      <c r="A5" s="218"/>
      <c r="B5" s="134"/>
      <c r="C5" s="190"/>
      <c r="D5" s="145"/>
      <c r="E5" s="146"/>
      <c r="F5" s="147"/>
      <c r="G5" s="142"/>
      <c r="H5" s="706"/>
      <c r="I5" s="698"/>
      <c r="J5" s="1151"/>
      <c r="K5" s="1172"/>
      <c r="L5" s="1173"/>
      <c r="M5" s="1171"/>
      <c r="N5" s="1171"/>
    </row>
    <row r="6" spans="1:14" s="348" customFormat="1" ht="21.75" customHeight="1">
      <c r="A6" s="218"/>
      <c r="B6" s="134" t="s">
        <v>93</v>
      </c>
      <c r="C6" s="135">
        <f ca="1">'Power Eff.'!C7:D7</f>
        <v>43321</v>
      </c>
      <c r="D6" s="136"/>
      <c r="E6" s="146"/>
      <c r="F6" s="147"/>
      <c r="G6" s="149" t="str">
        <f>IF(Ic=3,"Conversion of the optimum Point","Step "&amp;Ic&amp;" of the '2 step Method'")</f>
        <v>Step 1 of the '2 step Method'</v>
      </c>
      <c r="H6" s="570"/>
      <c r="I6" s="570"/>
      <c r="J6" s="1174"/>
      <c r="K6" s="1172"/>
      <c r="L6" s="1173"/>
      <c r="M6" s="1171"/>
      <c r="N6" s="1171"/>
    </row>
    <row r="7" spans="1:14" s="348" customFormat="1" ht="6.65" customHeight="1">
      <c r="A7" s="218"/>
      <c r="B7" s="134"/>
      <c r="C7" s="742"/>
      <c r="D7" s="743"/>
      <c r="E7" s="562"/>
      <c r="F7" s="147"/>
      <c r="G7" s="405"/>
      <c r="H7" s="406"/>
      <c r="I7" s="744"/>
      <c r="J7" s="1174"/>
      <c r="K7" s="1172"/>
      <c r="L7" s="1173"/>
      <c r="M7" s="1171"/>
      <c r="N7" s="1171"/>
    </row>
    <row r="8" spans="1:14" s="348" customFormat="1" ht="21.75" customHeight="1">
      <c r="A8" s="218"/>
      <c r="B8" s="747" t="s">
        <v>191</v>
      </c>
      <c r="C8" s="812" t="str">
        <f>IF(IT=1,"Francis turbine",IF(IT=2,"Pump Turbine (Turbine mode)",IF(IT=3,"Pump Turbine (Pump mode)", IF(IT=4,"Axial flow machines","???"))))</f>
        <v>Pump Turbine (Turbine mode)</v>
      </c>
      <c r="D8" s="811"/>
      <c r="E8" s="814"/>
      <c r="F8" s="815"/>
      <c r="G8" s="816" t="s">
        <v>77</v>
      </c>
      <c r="H8" s="406"/>
      <c r="I8" s="746"/>
      <c r="J8" s="1174"/>
      <c r="K8" s="1172"/>
      <c r="L8" s="1173"/>
      <c r="M8" s="1171"/>
      <c r="N8" s="1171"/>
    </row>
    <row r="9" spans="1:14" s="741" customFormat="1" ht="20.149999999999999" customHeight="1">
      <c r="A9" s="221" t="s">
        <v>94</v>
      </c>
      <c r="B9" s="244" t="s">
        <v>95</v>
      </c>
      <c r="C9" s="740"/>
      <c r="D9" s="740"/>
      <c r="E9" s="740"/>
      <c r="F9" s="740"/>
      <c r="G9" s="740"/>
      <c r="H9" s="676"/>
      <c r="I9" s="745"/>
      <c r="J9" s="1175"/>
      <c r="K9" s="1176"/>
      <c r="L9" s="1177"/>
      <c r="M9" s="1178"/>
      <c r="N9" s="1178"/>
    </row>
    <row r="10" spans="1:14" s="348" customFormat="1" ht="5.15" customHeight="1">
      <c r="A10" s="221"/>
      <c r="B10" s="97"/>
      <c r="C10" s="97"/>
      <c r="D10" s="97"/>
      <c r="E10" s="97"/>
      <c r="F10" s="222"/>
      <c r="G10" s="97"/>
      <c r="H10" s="676"/>
      <c r="I10" s="574"/>
      <c r="J10" s="1179"/>
      <c r="K10" s="1172"/>
      <c r="L10" s="1173"/>
      <c r="M10" s="1171"/>
      <c r="N10" s="1171"/>
    </row>
    <row r="11" spans="1:14" s="348" customFormat="1" ht="20.149999999999999" customHeight="1">
      <c r="A11" s="121"/>
      <c r="B11" s="283" t="s">
        <v>131</v>
      </c>
      <c r="C11" s="284"/>
      <c r="D11" s="285" t="str">
        <f>Homol_seal</f>
        <v>N</v>
      </c>
      <c r="E11" s="97"/>
      <c r="F11" s="97"/>
      <c r="G11" s="97"/>
      <c r="H11" s="676"/>
      <c r="I11" s="574"/>
      <c r="J11" s="1180" t="s">
        <v>25</v>
      </c>
      <c r="K11" s="1172"/>
      <c r="L11" s="1173"/>
      <c r="M11" s="1171"/>
      <c r="N11" s="1171"/>
    </row>
    <row r="12" spans="1:14" s="348" customFormat="1" ht="18" customHeight="1">
      <c r="A12" s="221" t="s">
        <v>21</v>
      </c>
      <c r="B12" s="96" t="s">
        <v>96</v>
      </c>
      <c r="C12" s="63" t="str">
        <f>IF(Ic=2,"= REFERENCE MODEL","= TESTED MODEL")</f>
        <v>= TESTED MODEL</v>
      </c>
      <c r="D12" s="98"/>
      <c r="E12" s="97"/>
      <c r="F12" s="97"/>
      <c r="G12" s="97"/>
      <c r="H12" s="676"/>
      <c r="I12" s="574"/>
      <c r="J12" s="1181" t="s">
        <v>28</v>
      </c>
      <c r="K12" s="1172"/>
      <c r="L12" s="1173"/>
      <c r="M12" s="1171"/>
      <c r="N12" s="1171"/>
    </row>
    <row r="13" spans="1:14" s="348" customFormat="1" ht="14">
      <c r="A13" s="221" t="s">
        <v>97</v>
      </c>
      <c r="B13" s="96" t="s">
        <v>232</v>
      </c>
      <c r="C13" s="97"/>
      <c r="D13" s="98"/>
      <c r="E13" s="97"/>
      <c r="F13" s="97"/>
      <c r="G13" s="97"/>
      <c r="H13" s="676"/>
      <c r="I13" s="574"/>
      <c r="J13" s="1302" t="s">
        <v>278</v>
      </c>
      <c r="K13" s="1303"/>
      <c r="L13" s="1173"/>
      <c r="M13" s="1171"/>
      <c r="N13" s="1171"/>
    </row>
    <row r="14" spans="1:14" s="348" customFormat="1" ht="20.149999999999999" customHeight="1">
      <c r="A14" s="221"/>
      <c r="B14" s="377" t="s">
        <v>233</v>
      </c>
      <c r="C14" s="378" t="s">
        <v>37</v>
      </c>
      <c r="D14" s="379">
        <f>DA</f>
        <v>0</v>
      </c>
      <c r="E14" s="97"/>
      <c r="F14" s="97"/>
      <c r="G14" s="97"/>
      <c r="H14" s="676"/>
      <c r="I14" s="574"/>
      <c r="J14" s="1294"/>
      <c r="K14" s="1303"/>
      <c r="L14" s="1173"/>
      <c r="M14" s="1171"/>
      <c r="N14" s="1171"/>
    </row>
    <row r="15" spans="1:14" s="348" customFormat="1" ht="8.25" customHeight="1">
      <c r="A15" s="221"/>
      <c r="B15" s="112"/>
      <c r="C15" s="112"/>
      <c r="D15" s="115"/>
      <c r="E15" s="97"/>
      <c r="F15" s="97"/>
      <c r="G15" s="97"/>
      <c r="H15" s="676"/>
      <c r="I15" s="574"/>
      <c r="J15" s="1294"/>
      <c r="K15" s="1303"/>
      <c r="L15" s="1173"/>
      <c r="M15" s="1171"/>
      <c r="N15" s="1171"/>
    </row>
    <row r="16" spans="1:14" s="348" customFormat="1" ht="14">
      <c r="A16" s="221" t="s">
        <v>98</v>
      </c>
      <c r="B16" s="96" t="s">
        <v>51</v>
      </c>
      <c r="C16" s="97"/>
      <c r="D16" s="98"/>
      <c r="E16" s="97"/>
      <c r="F16" s="97"/>
      <c r="G16" s="97"/>
      <c r="H16" s="676"/>
      <c r="I16" s="574"/>
      <c r="J16" s="1294"/>
      <c r="K16" s="1303"/>
      <c r="L16" s="1173"/>
      <c r="M16" s="1171"/>
      <c r="N16" s="1171"/>
    </row>
    <row r="17" spans="1:14" s="348" customFormat="1" ht="14">
      <c r="A17" s="220"/>
      <c r="B17" s="385" t="s">
        <v>235</v>
      </c>
      <c r="C17" s="281" t="s">
        <v>52</v>
      </c>
      <c r="D17" s="386"/>
      <c r="E17" s="123"/>
      <c r="F17" s="385" t="s">
        <v>237</v>
      </c>
      <c r="G17" s="281" t="s">
        <v>53</v>
      </c>
      <c r="H17" s="615"/>
      <c r="I17" s="575"/>
      <c r="J17" s="1294"/>
      <c r="K17" s="1303"/>
      <c r="L17" s="1173"/>
      <c r="M17" s="1171"/>
      <c r="N17" s="1171"/>
    </row>
    <row r="18" spans="1:14" s="348" customFormat="1" ht="14">
      <c r="A18" s="220"/>
      <c r="B18" s="226" t="s">
        <v>132</v>
      </c>
      <c r="C18" s="223" t="s">
        <v>133</v>
      </c>
      <c r="D18" s="224" t="s">
        <v>134</v>
      </c>
      <c r="E18" s="90"/>
      <c r="F18" s="226" t="s">
        <v>132</v>
      </c>
      <c r="G18" s="223" t="s">
        <v>133</v>
      </c>
      <c r="H18" s="227" t="s">
        <v>134</v>
      </c>
      <c r="I18" s="575"/>
      <c r="J18" s="1294"/>
      <c r="K18" s="1303"/>
      <c r="L18" s="1173"/>
      <c r="M18" s="1171"/>
      <c r="N18" s="1171"/>
    </row>
    <row r="19" spans="1:14" s="348" customFormat="1" ht="20.149999999999999" customHeight="1">
      <c r="A19" s="228"/>
      <c r="B19" s="103" t="s">
        <v>58</v>
      </c>
      <c r="C19" s="835" t="s">
        <v>347</v>
      </c>
      <c r="D19" s="380">
        <f xml:space="preserve"> 'Input Form'!D56</f>
        <v>0</v>
      </c>
      <c r="E19" s="124"/>
      <c r="F19" s="104" t="s">
        <v>58</v>
      </c>
      <c r="G19" s="835" t="s">
        <v>356</v>
      </c>
      <c r="H19" s="380">
        <f>'Input Form'!I56</f>
        <v>0</v>
      </c>
      <c r="I19" s="513"/>
      <c r="J19" s="1294"/>
      <c r="K19" s="1303"/>
      <c r="L19" s="1173"/>
      <c r="M19" s="1171"/>
      <c r="N19" s="1171"/>
    </row>
    <row r="20" spans="1:14" s="348" customFormat="1" ht="17.25" customHeight="1">
      <c r="A20" s="229"/>
      <c r="B20" s="105" t="s">
        <v>59</v>
      </c>
      <c r="C20" s="836" t="s">
        <v>348</v>
      </c>
      <c r="D20" s="381">
        <f xml:space="preserve"> 'Input Form'!D57</f>
        <v>0</v>
      </c>
      <c r="E20" s="126"/>
      <c r="F20" s="105" t="s">
        <v>59</v>
      </c>
      <c r="G20" s="836" t="s">
        <v>357</v>
      </c>
      <c r="H20" s="381">
        <f xml:space="preserve"> 'Input Form'!I57</f>
        <v>0</v>
      </c>
      <c r="I20" s="514"/>
      <c r="J20" s="1173"/>
      <c r="K20" s="1172"/>
      <c r="L20" s="1173"/>
      <c r="M20" s="1171"/>
      <c r="N20" s="1171"/>
    </row>
    <row r="21" spans="1:14" s="348" customFormat="1" ht="21.75" customHeight="1">
      <c r="A21" s="229"/>
      <c r="B21" s="107"/>
      <c r="C21" s="836" t="s">
        <v>349</v>
      </c>
      <c r="D21" s="381">
        <f xml:space="preserve"> 'Input Form'!D58</f>
        <v>0</v>
      </c>
      <c r="E21" s="126"/>
      <c r="F21" s="107"/>
      <c r="G21" s="836" t="s">
        <v>358</v>
      </c>
      <c r="H21" s="381">
        <f xml:space="preserve"> 'Input Form'!I58</f>
        <v>0</v>
      </c>
      <c r="I21" s="514"/>
      <c r="J21" s="1182"/>
      <c r="K21" s="1172"/>
      <c r="L21" s="1173"/>
      <c r="M21" s="1171"/>
      <c r="N21" s="1171"/>
    </row>
    <row r="22" spans="1:14" s="348" customFormat="1" ht="18.75" customHeight="1">
      <c r="A22" s="229"/>
      <c r="B22" s="107"/>
      <c r="C22" s="836" t="s">
        <v>350</v>
      </c>
      <c r="D22" s="381">
        <f xml:space="preserve"> 'Input Form'!D59</f>
        <v>0</v>
      </c>
      <c r="E22" s="126"/>
      <c r="F22" s="107"/>
      <c r="G22" s="836" t="s">
        <v>359</v>
      </c>
      <c r="H22" s="381">
        <f xml:space="preserve"> 'Input Form'!I59</f>
        <v>0</v>
      </c>
      <c r="I22" s="514"/>
      <c r="J22" s="1182"/>
      <c r="K22" s="1172"/>
      <c r="L22" s="1173"/>
      <c r="M22" s="1171"/>
      <c r="N22" s="1171"/>
    </row>
    <row r="23" spans="1:14" s="348" customFormat="1" ht="20.25" customHeight="1">
      <c r="A23" s="229"/>
      <c r="B23" s="108"/>
      <c r="C23" s="836" t="s">
        <v>351</v>
      </c>
      <c r="D23" s="381">
        <f xml:space="preserve"> 'Input Form'!D60</f>
        <v>0</v>
      </c>
      <c r="E23" s="126"/>
      <c r="F23" s="108"/>
      <c r="G23" s="836" t="s">
        <v>360</v>
      </c>
      <c r="H23" s="381">
        <f xml:space="preserve"> 'Input Form'!I60</f>
        <v>0</v>
      </c>
      <c r="I23" s="514"/>
      <c r="J23" s="1183"/>
      <c r="K23" s="1172"/>
      <c r="L23" s="1173"/>
      <c r="M23" s="1171"/>
      <c r="N23" s="1171"/>
    </row>
    <row r="24" spans="1:14" s="349" customFormat="1" ht="19.5" customHeight="1">
      <c r="A24" s="229"/>
      <c r="B24" s="109" t="s">
        <v>135</v>
      </c>
      <c r="C24" s="836" t="s">
        <v>352</v>
      </c>
      <c r="D24" s="381">
        <f xml:space="preserve"> 'Input Form'!D61</f>
        <v>0</v>
      </c>
      <c r="E24" s="126"/>
      <c r="F24" s="109" t="s">
        <v>135</v>
      </c>
      <c r="G24" s="836" t="s">
        <v>361</v>
      </c>
      <c r="H24" s="381">
        <f xml:space="preserve"> 'Input Form'!I61</f>
        <v>0</v>
      </c>
      <c r="I24" s="514"/>
      <c r="J24" s="1184"/>
      <c r="K24" s="1185"/>
      <c r="L24" s="1182"/>
      <c r="M24" s="1186"/>
      <c r="N24" s="1186"/>
    </row>
    <row r="25" spans="1:14" s="349" customFormat="1" ht="19.5" customHeight="1">
      <c r="A25" s="229"/>
      <c r="B25" s="110"/>
      <c r="C25" s="836" t="s">
        <v>353</v>
      </c>
      <c r="D25" s="381">
        <f xml:space="preserve"> 'Input Form'!D62</f>
        <v>0</v>
      </c>
      <c r="E25" s="126"/>
      <c r="F25" s="110"/>
      <c r="G25" s="836" t="s">
        <v>362</v>
      </c>
      <c r="H25" s="381">
        <f xml:space="preserve"> 'Input Form'!I62</f>
        <v>0</v>
      </c>
      <c r="I25" s="514"/>
      <c r="J25" s="1184"/>
      <c r="K25" s="1185"/>
      <c r="L25" s="1182"/>
      <c r="M25" s="1186"/>
      <c r="N25" s="1186"/>
    </row>
    <row r="26" spans="1:14" s="350" customFormat="1" ht="20.149999999999999" customHeight="1">
      <c r="A26" s="229"/>
      <c r="B26" s="110"/>
      <c r="C26" s="836" t="s">
        <v>354</v>
      </c>
      <c r="D26" s="381">
        <f xml:space="preserve"> 'Input Form'!D63</f>
        <v>0</v>
      </c>
      <c r="E26" s="126"/>
      <c r="F26" s="110"/>
      <c r="G26" s="836" t="s">
        <v>363</v>
      </c>
      <c r="H26" s="381">
        <f xml:space="preserve"> 'Input Form'!I63</f>
        <v>0</v>
      </c>
      <c r="I26" s="514"/>
      <c r="J26" s="1184"/>
      <c r="K26" s="1187"/>
      <c r="L26" s="1183"/>
      <c r="M26" s="1188"/>
      <c r="N26" s="1188"/>
    </row>
    <row r="27" spans="1:14" s="351" customFormat="1" ht="20.149999999999999" customHeight="1">
      <c r="A27" s="229"/>
      <c r="B27" s="111"/>
      <c r="C27" s="836" t="s">
        <v>355</v>
      </c>
      <c r="D27" s="381">
        <f xml:space="preserve"> 'Input Form'!D64</f>
        <v>0</v>
      </c>
      <c r="E27" s="126"/>
      <c r="F27" s="111"/>
      <c r="G27" s="836" t="s">
        <v>364</v>
      </c>
      <c r="H27" s="381">
        <f xml:space="preserve"> 'Input Form'!I64</f>
        <v>0</v>
      </c>
      <c r="I27" s="514"/>
      <c r="J27" s="1184"/>
      <c r="K27" s="1189"/>
      <c r="L27" s="1184"/>
      <c r="M27" s="1190"/>
      <c r="N27" s="1190"/>
    </row>
    <row r="28" spans="1:14" s="351" customFormat="1" ht="6.75" customHeight="1">
      <c r="A28" s="229"/>
      <c r="B28" s="112"/>
      <c r="C28" s="112"/>
      <c r="D28" s="115"/>
      <c r="E28" s="126"/>
      <c r="F28" s="112"/>
      <c r="G28" s="112"/>
      <c r="H28" s="553"/>
      <c r="I28" s="514"/>
      <c r="J28" s="1184"/>
      <c r="K28" s="1189"/>
      <c r="L28" s="1184"/>
      <c r="M28" s="1190"/>
      <c r="N28" s="1190"/>
    </row>
    <row r="29" spans="1:14" s="351" customFormat="1" ht="14">
      <c r="A29" s="221" t="s">
        <v>100</v>
      </c>
      <c r="B29" s="96" t="s">
        <v>62</v>
      </c>
      <c r="C29" s="97"/>
      <c r="D29" s="98"/>
      <c r="E29" s="97"/>
      <c r="F29" s="97"/>
      <c r="G29" s="97"/>
      <c r="H29" s="676"/>
      <c r="I29" s="514"/>
      <c r="J29" s="1184"/>
      <c r="K29" s="1189"/>
      <c r="L29" s="1184"/>
      <c r="M29" s="1190"/>
      <c r="N29" s="1190"/>
    </row>
    <row r="30" spans="1:14" s="351" customFormat="1" ht="14">
      <c r="A30" s="221"/>
      <c r="B30" s="385" t="s">
        <v>238</v>
      </c>
      <c r="C30" s="281" t="s">
        <v>52</v>
      </c>
      <c r="D30" s="386"/>
      <c r="E30" s="123"/>
      <c r="F30" s="385" t="s">
        <v>239</v>
      </c>
      <c r="G30" s="281" t="s">
        <v>53</v>
      </c>
      <c r="H30" s="615"/>
      <c r="I30" s="574"/>
      <c r="J30" s="1184"/>
      <c r="K30" s="1189"/>
      <c r="L30" s="1184"/>
      <c r="M30" s="1190"/>
      <c r="N30" s="1190"/>
    </row>
    <row r="31" spans="1:14" s="351" customFormat="1" ht="20.149999999999999" customHeight="1">
      <c r="A31" s="220"/>
      <c r="B31" s="226" t="s">
        <v>132</v>
      </c>
      <c r="C31" s="223" t="s">
        <v>133</v>
      </c>
      <c r="D31" s="224" t="s">
        <v>134</v>
      </c>
      <c r="E31" s="90"/>
      <c r="F31" s="226" t="s">
        <v>132</v>
      </c>
      <c r="G31" s="223" t="s">
        <v>133</v>
      </c>
      <c r="H31" s="224" t="s">
        <v>134</v>
      </c>
      <c r="I31" s="575"/>
      <c r="J31" s="1184"/>
      <c r="K31" s="1189"/>
      <c r="L31" s="1184"/>
      <c r="M31" s="1190"/>
      <c r="N31" s="1190"/>
    </row>
    <row r="32" spans="1:14" s="351" customFormat="1" ht="20.149999999999999" customHeight="1">
      <c r="A32" s="220"/>
      <c r="B32" s="104" t="s">
        <v>58</v>
      </c>
      <c r="C32" s="835" t="s">
        <v>365</v>
      </c>
      <c r="D32" s="380">
        <f>'Input Form'!D69</f>
        <v>0</v>
      </c>
      <c r="E32" s="124"/>
      <c r="F32" s="104" t="s">
        <v>58</v>
      </c>
      <c r="G32" s="835" t="s">
        <v>356</v>
      </c>
      <c r="H32" s="380">
        <f>'Input Form'!I69</f>
        <v>0</v>
      </c>
      <c r="I32" s="575"/>
      <c r="J32" s="1184"/>
      <c r="K32" s="1189"/>
      <c r="L32" s="1184"/>
      <c r="M32" s="1190"/>
      <c r="N32" s="1190"/>
    </row>
    <row r="33" spans="1:14" s="351" customFormat="1" ht="20.149999999999999" customHeight="1">
      <c r="A33" s="228"/>
      <c r="B33" s="105" t="s">
        <v>59</v>
      </c>
      <c r="C33" s="836" t="s">
        <v>366</v>
      </c>
      <c r="D33" s="381">
        <f xml:space="preserve"> 'Input Form'!D70</f>
        <v>0</v>
      </c>
      <c r="E33" s="126"/>
      <c r="F33" s="105" t="s">
        <v>59</v>
      </c>
      <c r="G33" s="836" t="s">
        <v>357</v>
      </c>
      <c r="H33" s="381">
        <f xml:space="preserve"> 'Input Form'!I70</f>
        <v>0</v>
      </c>
      <c r="I33" s="513"/>
      <c r="J33" s="1184"/>
      <c r="K33" s="1189"/>
      <c r="L33" s="1184"/>
      <c r="M33" s="1190"/>
      <c r="N33" s="1190"/>
    </row>
    <row r="34" spans="1:14" s="351" customFormat="1" ht="20.149999999999999" customHeight="1">
      <c r="A34" s="229"/>
      <c r="B34" s="107"/>
      <c r="C34" s="836" t="s">
        <v>367</v>
      </c>
      <c r="D34" s="381">
        <f xml:space="preserve"> 'Input Form'!D71</f>
        <v>0</v>
      </c>
      <c r="E34" s="126"/>
      <c r="F34" s="107"/>
      <c r="G34" s="836" t="s">
        <v>358</v>
      </c>
      <c r="H34" s="381">
        <f xml:space="preserve"> 'Input Form'!I71</f>
        <v>0</v>
      </c>
      <c r="I34" s="514"/>
      <c r="J34" s="1173"/>
      <c r="K34" s="1189"/>
      <c r="L34" s="1184"/>
      <c r="M34" s="1190"/>
      <c r="N34" s="1190"/>
    </row>
    <row r="35" spans="1:14" s="351" customFormat="1" ht="20.149999999999999" customHeight="1">
      <c r="A35" s="229"/>
      <c r="B35" s="107"/>
      <c r="C35" s="836" t="s">
        <v>368</v>
      </c>
      <c r="D35" s="381">
        <f xml:space="preserve"> 'Input Form'!D72</f>
        <v>0</v>
      </c>
      <c r="E35" s="126"/>
      <c r="F35" s="107"/>
      <c r="G35" s="836" t="s">
        <v>359</v>
      </c>
      <c r="H35" s="381">
        <f xml:space="preserve"> 'Input Form'!I72</f>
        <v>0</v>
      </c>
      <c r="I35" s="514"/>
      <c r="J35" s="1182"/>
      <c r="K35" s="1189"/>
      <c r="L35" s="1184"/>
      <c r="M35" s="1190"/>
      <c r="N35" s="1190"/>
    </row>
    <row r="36" spans="1:14" s="351" customFormat="1" ht="20.149999999999999" customHeight="1">
      <c r="A36" s="229"/>
      <c r="B36" s="108"/>
      <c r="C36" s="836" t="s">
        <v>369</v>
      </c>
      <c r="D36" s="381">
        <f xml:space="preserve"> 'Input Form'!D73</f>
        <v>0</v>
      </c>
      <c r="E36" s="126"/>
      <c r="F36" s="108"/>
      <c r="G36" s="836" t="s">
        <v>360</v>
      </c>
      <c r="H36" s="381">
        <f xml:space="preserve"> 'Input Form'!I73</f>
        <v>0</v>
      </c>
      <c r="I36" s="514"/>
      <c r="J36" s="1182"/>
      <c r="K36" s="1189"/>
      <c r="L36" s="1184"/>
      <c r="M36" s="1190"/>
      <c r="N36" s="1190"/>
    </row>
    <row r="37" spans="1:14" s="348" customFormat="1" ht="20.149999999999999" customHeight="1">
      <c r="A37" s="229"/>
      <c r="B37" s="109" t="s">
        <v>135</v>
      </c>
      <c r="C37" s="836" t="s">
        <v>370</v>
      </c>
      <c r="D37" s="381">
        <f xml:space="preserve"> 'Input Form'!D74</f>
        <v>0</v>
      </c>
      <c r="E37" s="126"/>
      <c r="F37" s="109" t="s">
        <v>135</v>
      </c>
      <c r="G37" s="836" t="s">
        <v>361</v>
      </c>
      <c r="H37" s="381">
        <f xml:space="preserve"> 'Input Form'!I74</f>
        <v>0</v>
      </c>
      <c r="I37" s="514"/>
      <c r="J37" s="1183"/>
      <c r="K37" s="1172"/>
      <c r="L37" s="1173"/>
      <c r="M37" s="1171"/>
      <c r="N37" s="1171"/>
    </row>
    <row r="38" spans="1:14" s="349" customFormat="1" ht="20.149999999999999" customHeight="1">
      <c r="A38" s="229"/>
      <c r="B38" s="110"/>
      <c r="C38" s="836" t="s">
        <v>371</v>
      </c>
      <c r="D38" s="381">
        <f xml:space="preserve"> 'Input Form'!D75</f>
        <v>0</v>
      </c>
      <c r="E38" s="126"/>
      <c r="F38" s="110"/>
      <c r="G38" s="836" t="s">
        <v>362</v>
      </c>
      <c r="H38" s="381">
        <f xml:space="preserve"> 'Input Form'!I75</f>
        <v>0</v>
      </c>
      <c r="I38" s="514"/>
      <c r="J38" s="1184"/>
      <c r="K38" s="1185"/>
      <c r="L38" s="1182"/>
      <c r="M38" s="1186"/>
      <c r="N38" s="1186"/>
    </row>
    <row r="39" spans="1:14" s="349" customFormat="1" ht="20.149999999999999" customHeight="1">
      <c r="A39" s="229"/>
      <c r="B39" s="110"/>
      <c r="C39" s="836" t="s">
        <v>372</v>
      </c>
      <c r="D39" s="381">
        <f xml:space="preserve"> 'Input Form'!D76</f>
        <v>0</v>
      </c>
      <c r="E39" s="126"/>
      <c r="F39" s="110"/>
      <c r="G39" s="836" t="s">
        <v>363</v>
      </c>
      <c r="H39" s="381">
        <f xml:space="preserve"> 'Input Form'!I76</f>
        <v>0</v>
      </c>
      <c r="I39" s="514"/>
      <c r="J39" s="1184"/>
      <c r="K39" s="1185"/>
      <c r="L39" s="1182"/>
      <c r="M39" s="1186"/>
      <c r="N39" s="1186"/>
    </row>
    <row r="40" spans="1:14" s="350" customFormat="1" ht="20.149999999999999" customHeight="1">
      <c r="A40" s="229"/>
      <c r="B40" s="111"/>
      <c r="C40" s="836" t="s">
        <v>373</v>
      </c>
      <c r="D40" s="381">
        <f xml:space="preserve"> 'Input Form'!D77</f>
        <v>0</v>
      </c>
      <c r="E40" s="126"/>
      <c r="F40" s="111"/>
      <c r="G40" s="836" t="s">
        <v>364</v>
      </c>
      <c r="H40" s="381">
        <f xml:space="preserve"> 'Input Form'!I77</f>
        <v>0</v>
      </c>
      <c r="I40" s="514"/>
      <c r="J40" s="1184"/>
      <c r="K40" s="1187"/>
      <c r="L40" s="1183"/>
      <c r="M40" s="1188"/>
      <c r="N40" s="1188"/>
    </row>
    <row r="41" spans="1:14" s="351" customFormat="1" ht="16.5" customHeight="1">
      <c r="A41" s="231"/>
      <c r="B41" s="231"/>
      <c r="C41" s="231"/>
      <c r="D41" s="231"/>
      <c r="E41" s="97"/>
      <c r="F41" s="97"/>
      <c r="G41" s="97"/>
      <c r="H41" s="676"/>
      <c r="I41" s="514"/>
      <c r="J41" s="1184"/>
      <c r="K41" s="1189"/>
      <c r="L41" s="1184"/>
      <c r="M41" s="1190"/>
      <c r="N41" s="1190"/>
    </row>
    <row r="42" spans="1:14" s="351" customFormat="1" ht="20.149999999999999" customHeight="1">
      <c r="A42" s="229" t="s">
        <v>36</v>
      </c>
      <c r="B42" s="123" t="s">
        <v>65</v>
      </c>
      <c r="C42" s="749" t="str">
        <f>IF(Ic=1,"= REFERENCE MODEL","= PROTOTYPE")</f>
        <v>= REFERENCE MODEL</v>
      </c>
      <c r="D42" s="91"/>
      <c r="E42" s="90"/>
      <c r="F42" s="90"/>
      <c r="G42" s="90"/>
      <c r="H42" s="553"/>
      <c r="I42" s="575"/>
      <c r="J42" s="1184"/>
      <c r="K42" s="1189"/>
      <c r="L42" s="1184"/>
      <c r="M42" s="1190"/>
      <c r="N42" s="1190"/>
    </row>
    <row r="43" spans="1:14" s="351" customFormat="1" ht="14">
      <c r="A43" s="220" t="s">
        <v>105</v>
      </c>
      <c r="B43" s="123" t="s">
        <v>232</v>
      </c>
      <c r="C43" s="382"/>
      <c r="D43" s="383"/>
      <c r="E43" s="90"/>
      <c r="F43" s="90"/>
      <c r="G43" s="90"/>
      <c r="H43" s="553"/>
      <c r="I43" s="575"/>
      <c r="J43" s="1184"/>
      <c r="K43" s="1189"/>
      <c r="L43" s="1184"/>
      <c r="M43" s="1190"/>
      <c r="N43" s="1190"/>
    </row>
    <row r="44" spans="1:14" s="351" customFormat="1" ht="16">
      <c r="A44" s="221"/>
      <c r="B44" s="377" t="s">
        <v>234</v>
      </c>
      <c r="C44" s="378" t="s">
        <v>37</v>
      </c>
      <c r="D44" s="384">
        <f>DB</f>
        <v>0</v>
      </c>
      <c r="E44" s="97"/>
      <c r="F44" s="97"/>
      <c r="G44" s="97"/>
      <c r="H44" s="676"/>
      <c r="I44" s="574"/>
      <c r="J44" s="1184"/>
      <c r="K44" s="1189"/>
      <c r="L44" s="1184"/>
      <c r="M44" s="1190"/>
      <c r="N44" s="1190"/>
    </row>
    <row r="45" spans="1:14" s="351" customFormat="1" ht="8.25" customHeight="1">
      <c r="A45" s="221"/>
      <c r="B45" s="112"/>
      <c r="C45" s="112"/>
      <c r="D45" s="115"/>
      <c r="E45" s="97"/>
      <c r="F45" s="97"/>
      <c r="G45" s="97"/>
      <c r="H45" s="676"/>
      <c r="I45" s="574"/>
      <c r="J45" s="1184"/>
      <c r="K45" s="1189"/>
      <c r="L45" s="1184"/>
      <c r="M45" s="1190"/>
      <c r="N45" s="1190"/>
    </row>
    <row r="46" spans="1:14" s="351" customFormat="1" ht="14">
      <c r="A46" s="221" t="s">
        <v>106</v>
      </c>
      <c r="B46" s="96" t="s">
        <v>51</v>
      </c>
      <c r="C46" s="96"/>
      <c r="D46" s="232"/>
      <c r="E46" s="96"/>
      <c r="F46" s="96"/>
      <c r="G46" s="97"/>
      <c r="H46" s="676"/>
      <c r="I46" s="574"/>
      <c r="J46" s="1184"/>
      <c r="K46" s="1189"/>
      <c r="L46" s="1184"/>
      <c r="M46" s="1190"/>
      <c r="N46" s="1190"/>
    </row>
    <row r="47" spans="1:14" s="351" customFormat="1" ht="6.75" customHeight="1">
      <c r="A47" s="221"/>
      <c r="B47" s="96"/>
      <c r="C47" s="96"/>
      <c r="D47" s="232"/>
      <c r="E47" s="96"/>
      <c r="F47" s="96"/>
      <c r="G47" s="97"/>
      <c r="H47" s="676"/>
      <c r="I47" s="574"/>
      <c r="J47" s="1184"/>
      <c r="K47" s="1189"/>
      <c r="L47" s="1184"/>
      <c r="M47" s="1190"/>
      <c r="N47" s="1190"/>
    </row>
    <row r="48" spans="1:14" s="351" customFormat="1" ht="14">
      <c r="A48" s="221"/>
      <c r="B48" s="385" t="s">
        <v>240</v>
      </c>
      <c r="C48" s="281" t="s">
        <v>52</v>
      </c>
      <c r="D48" s="386"/>
      <c r="E48" s="123"/>
      <c r="F48" s="385" t="s">
        <v>241</v>
      </c>
      <c r="G48" s="281" t="s">
        <v>53</v>
      </c>
      <c r="H48" s="615"/>
      <c r="I48" s="574"/>
      <c r="J48" s="1184"/>
      <c r="K48" s="1189"/>
      <c r="L48" s="1184"/>
      <c r="M48" s="1190"/>
      <c r="N48" s="1190"/>
    </row>
    <row r="49" spans="1:22" s="351" customFormat="1" ht="20.149999999999999" customHeight="1">
      <c r="A49" s="220"/>
      <c r="B49" s="226" t="s">
        <v>132</v>
      </c>
      <c r="C49" s="223" t="s">
        <v>133</v>
      </c>
      <c r="D49" s="224" t="s">
        <v>134</v>
      </c>
      <c r="E49" s="90"/>
      <c r="F49" s="226" t="s">
        <v>132</v>
      </c>
      <c r="G49" s="223" t="s">
        <v>133</v>
      </c>
      <c r="H49" s="227" t="s">
        <v>134</v>
      </c>
      <c r="I49" s="575"/>
      <c r="J49" s="1181" t="s">
        <v>38</v>
      </c>
      <c r="K49" s="1189"/>
      <c r="L49" s="1184"/>
      <c r="M49" s="1190"/>
      <c r="N49" s="1190"/>
      <c r="U49" s="883" t="s">
        <v>497</v>
      </c>
      <c r="V49" s="884" t="e">
        <f>D44/D14</f>
        <v>#DIV/0!</v>
      </c>
    </row>
    <row r="50" spans="1:22" s="351" customFormat="1" ht="20.149999999999999" customHeight="1">
      <c r="A50" s="220"/>
      <c r="B50" s="104" t="s">
        <v>58</v>
      </c>
      <c r="C50" s="835" t="s">
        <v>347</v>
      </c>
      <c r="D50" s="381">
        <f>IF('Input Form'!$D$51="Y",D19*$V$49,IF('Input Form'!$D$51="N", 'Input Form'!D110,"N.A."))</f>
        <v>5</v>
      </c>
      <c r="E50" s="124"/>
      <c r="F50" s="104" t="s">
        <v>58</v>
      </c>
      <c r="G50" s="835" t="s">
        <v>356</v>
      </c>
      <c r="H50" s="384">
        <f>IF('Input Form'!$D$51="Y",H19*$V$49,IF('Input Form'!$D$51="N", 'Input Form'!I110,"N.A."))</f>
        <v>1.5</v>
      </c>
      <c r="I50" s="575"/>
      <c r="J50" s="1302" t="s">
        <v>275</v>
      </c>
      <c r="K50" s="1303"/>
      <c r="L50" s="1184"/>
      <c r="M50" s="1190"/>
      <c r="N50" s="1190"/>
    </row>
    <row r="51" spans="1:22" s="351" customFormat="1" ht="19.5" customHeight="1">
      <c r="A51" s="228"/>
      <c r="B51" s="105" t="s">
        <v>59</v>
      </c>
      <c r="C51" s="836" t="s">
        <v>348</v>
      </c>
      <c r="D51" s="381">
        <f>IF('Input Form'!$D$51="Y",D20*$V$49,IF('Input Form'!$D$51="N", 'Input Form'!D111,"N.A."))</f>
        <v>2089</v>
      </c>
      <c r="E51" s="126"/>
      <c r="F51" s="105" t="s">
        <v>59</v>
      </c>
      <c r="G51" s="836" t="s">
        <v>357</v>
      </c>
      <c r="H51" s="384">
        <f>IF('Input Form'!$D$51="Y",H20*$V$49,IF('Input Form'!$D$51="N", 'Input Form'!I111,"N.A."))</f>
        <v>1555</v>
      </c>
      <c r="I51" s="513"/>
      <c r="J51" s="1294"/>
      <c r="K51" s="1303"/>
      <c r="L51" s="1170" t="s">
        <v>63</v>
      </c>
      <c r="M51" s="1190"/>
      <c r="N51" s="1190"/>
    </row>
    <row r="52" spans="1:22" s="351" customFormat="1" ht="20.149999999999999" customHeight="1">
      <c r="A52" s="229"/>
      <c r="B52" s="107"/>
      <c r="C52" s="836" t="s">
        <v>349</v>
      </c>
      <c r="D52" s="381">
        <f>IF('Input Form'!$D$51="Y",D21*$V$49,IF('Input Form'!$D$51="N", 'Input Form'!D112,"N.A."))</f>
        <v>0</v>
      </c>
      <c r="E52" s="126"/>
      <c r="F52" s="107"/>
      <c r="G52" s="836" t="s">
        <v>358</v>
      </c>
      <c r="H52" s="384">
        <f>IF('Input Form'!$D$51="Y",H21*$V$49,IF('Input Form'!$D$51="N", 'Input Form'!I112,"N.A."))</f>
        <v>1470</v>
      </c>
      <c r="I52" s="514"/>
      <c r="J52" s="1294"/>
      <c r="K52" s="1303"/>
      <c r="L52" s="1191"/>
      <c r="M52" s="1190"/>
      <c r="N52" s="1190"/>
    </row>
    <row r="53" spans="1:22" s="348" customFormat="1" ht="20.149999999999999" customHeight="1">
      <c r="A53" s="229"/>
      <c r="B53" s="107"/>
      <c r="C53" s="836" t="s">
        <v>350</v>
      </c>
      <c r="D53" s="381">
        <f>IF('Input Form'!$D$51="Y",D22*$V$49,IF('Input Form'!$D$51="N", 'Input Form'!D113,"N.A."))</f>
        <v>0</v>
      </c>
      <c r="E53" s="126"/>
      <c r="F53" s="107"/>
      <c r="G53" s="836" t="s">
        <v>359</v>
      </c>
      <c r="H53" s="384">
        <f>IF('Input Form'!$D$51="Y",H22*$V$49,IF('Input Form'!$D$51="N", 'Input Form'!I113,"N.A."))</f>
        <v>0</v>
      </c>
      <c r="I53" s="514"/>
      <c r="J53" s="1294"/>
      <c r="K53" s="1303"/>
      <c r="L53" s="1173"/>
      <c r="M53" s="1171"/>
      <c r="N53" s="1171"/>
    </row>
    <row r="54" spans="1:22" s="348" customFormat="1" ht="20.149999999999999" customHeight="1">
      <c r="A54" s="229"/>
      <c r="B54" s="108"/>
      <c r="C54" s="836" t="s">
        <v>351</v>
      </c>
      <c r="D54" s="381">
        <f>IF('Input Form'!$D$51="Y",D23*$V$49,IF('Input Form'!$D$51="N", 'Input Form'!D114,"N.A."))</f>
        <v>0</v>
      </c>
      <c r="E54" s="126"/>
      <c r="F54" s="108"/>
      <c r="G54" s="836" t="s">
        <v>360</v>
      </c>
      <c r="H54" s="384">
        <f>IF('Input Form'!$D$51="Y",H23*$V$49,IF('Input Form'!$D$51="N", 'Input Form'!I114,"N.A."))</f>
        <v>0</v>
      </c>
      <c r="I54" s="514"/>
      <c r="J54" s="1294"/>
      <c r="K54" s="1303"/>
      <c r="L54" s="1173"/>
      <c r="M54" s="1171"/>
      <c r="N54" s="1171"/>
    </row>
    <row r="55" spans="1:22" s="348" customFormat="1" ht="20.149999999999999" customHeight="1">
      <c r="A55" s="229"/>
      <c r="B55" s="109" t="s">
        <v>135</v>
      </c>
      <c r="C55" s="836" t="s">
        <v>352</v>
      </c>
      <c r="D55" s="381">
        <f>IF('Input Form'!$D$51="Y",D24*$V$49,IF('Input Form'!$D$51="N", 'Input Form'!D115,"N.A."))</f>
        <v>106</v>
      </c>
      <c r="E55" s="126"/>
      <c r="F55" s="109" t="s">
        <v>135</v>
      </c>
      <c r="G55" s="836" t="s">
        <v>361</v>
      </c>
      <c r="H55" s="384">
        <f>IF('Input Form'!$D$51="Y",H24*$V$49,IF('Input Form'!$D$51="N", 'Input Form'!I115,"N.A."))</f>
        <v>60</v>
      </c>
      <c r="I55" s="514"/>
      <c r="J55" s="1294"/>
      <c r="K55" s="1303"/>
      <c r="L55" s="1173"/>
      <c r="M55" s="1171"/>
      <c r="N55" s="1171"/>
    </row>
    <row r="56" spans="1:22" s="348" customFormat="1" ht="19.5">
      <c r="A56" s="229"/>
      <c r="B56" s="110"/>
      <c r="C56" s="836" t="s">
        <v>353</v>
      </c>
      <c r="D56" s="381">
        <f>IF('Input Form'!$D$51="Y",D25*$V$49,IF('Input Form'!$D$51="N", 'Input Form'!D116,"N.A."))</f>
        <v>0</v>
      </c>
      <c r="E56" s="126"/>
      <c r="F56" s="110"/>
      <c r="G56" s="836" t="s">
        <v>362</v>
      </c>
      <c r="H56" s="384">
        <f>IF('Input Form'!$D$51="Y",H25*$V$49,IF('Input Form'!$D$51="N", 'Input Form'!I116,"N.A."))</f>
        <v>60</v>
      </c>
      <c r="I56" s="514"/>
      <c r="J56" s="1294"/>
      <c r="K56" s="1303"/>
      <c r="L56" s="1173"/>
      <c r="M56" s="1171"/>
      <c r="N56" s="1171"/>
    </row>
    <row r="57" spans="1:22" s="348" customFormat="1" ht="20.149999999999999" customHeight="1">
      <c r="A57" s="229"/>
      <c r="B57" s="110"/>
      <c r="C57" s="836" t="s">
        <v>354</v>
      </c>
      <c r="D57" s="381">
        <f>IF('Input Form'!$D$51="Y",D26*$V$49,IF('Input Form'!$D$51="N", 'Input Form'!D117,"N.A."))</f>
        <v>0</v>
      </c>
      <c r="E57" s="126"/>
      <c r="F57" s="110"/>
      <c r="G57" s="836" t="s">
        <v>363</v>
      </c>
      <c r="H57" s="384">
        <f>IF('Input Form'!$D$51="Y",H26*$V$49,IF('Input Form'!$D$51="N", 'Input Form'!I117,"N.A."))</f>
        <v>0</v>
      </c>
      <c r="I57" s="514"/>
      <c r="J57" s="1182"/>
      <c r="K57" s="1172"/>
      <c r="L57" s="1173"/>
      <c r="M57" s="1171"/>
      <c r="N57" s="1171"/>
    </row>
    <row r="58" spans="1:22" s="348" customFormat="1" ht="20.149999999999999" customHeight="1">
      <c r="A58" s="229"/>
      <c r="B58" s="111"/>
      <c r="C58" s="836" t="s">
        <v>355</v>
      </c>
      <c r="D58" s="381">
        <f>IF('Input Form'!$D$51="Y",D27*$V$49,IF('Input Form'!$D$51="N", 'Input Form'!D118,"N.A."))</f>
        <v>0</v>
      </c>
      <c r="E58" s="126"/>
      <c r="F58" s="111"/>
      <c r="G58" s="836" t="s">
        <v>364</v>
      </c>
      <c r="H58" s="384">
        <f>IF('Input Form'!$D$51="Y",H27*$V$49,IF('Input Form'!$D$51="N", 'Input Form'!I118,"N.A."))</f>
        <v>0</v>
      </c>
      <c r="I58" s="514"/>
      <c r="J58" s="1183"/>
      <c r="K58" s="1172"/>
      <c r="L58" s="1173"/>
      <c r="M58" s="1171"/>
      <c r="N58" s="1171"/>
    </row>
    <row r="59" spans="1:22" s="349" customFormat="1" ht="20.149999999999999" customHeight="1">
      <c r="A59" s="229"/>
      <c r="B59" s="112"/>
      <c r="C59" s="112"/>
      <c r="D59" s="115"/>
      <c r="E59" s="126"/>
      <c r="F59" s="112"/>
      <c r="G59" s="112"/>
      <c r="H59" s="553"/>
      <c r="I59" s="514"/>
      <c r="J59" s="1184"/>
      <c r="K59" s="1185"/>
      <c r="L59" s="1182"/>
      <c r="M59" s="1186"/>
      <c r="N59" s="1186"/>
    </row>
    <row r="60" spans="1:22" s="349" customFormat="1" ht="14">
      <c r="A60" s="221" t="s">
        <v>108</v>
      </c>
      <c r="B60" s="96" t="s">
        <v>62</v>
      </c>
      <c r="C60" s="96"/>
      <c r="D60" s="232"/>
      <c r="E60" s="96"/>
      <c r="F60" s="96"/>
      <c r="G60" s="97"/>
      <c r="H60" s="676"/>
      <c r="I60" s="514"/>
      <c r="J60" s="1184"/>
      <c r="K60" s="1185"/>
      <c r="L60" s="1182"/>
      <c r="M60" s="1186"/>
      <c r="N60" s="1186"/>
    </row>
    <row r="61" spans="1:22" s="349" customFormat="1" ht="6.75" customHeight="1">
      <c r="A61" s="229"/>
      <c r="B61" s="96"/>
      <c r="C61" s="96"/>
      <c r="D61" s="232"/>
      <c r="E61" s="96"/>
      <c r="F61" s="96"/>
      <c r="G61" s="97"/>
      <c r="H61" s="676"/>
      <c r="I61" s="514"/>
      <c r="J61" s="1184"/>
      <c r="K61" s="1185"/>
      <c r="L61" s="1182"/>
      <c r="M61" s="1186"/>
      <c r="N61" s="1186"/>
    </row>
    <row r="62" spans="1:22" s="349" customFormat="1" ht="14">
      <c r="A62" s="229"/>
      <c r="B62" s="385" t="s">
        <v>242</v>
      </c>
      <c r="C62" s="281" t="s">
        <v>52</v>
      </c>
      <c r="D62" s="386"/>
      <c r="E62" s="123"/>
      <c r="F62" s="385" t="s">
        <v>243</v>
      </c>
      <c r="G62" s="281" t="s">
        <v>53</v>
      </c>
      <c r="H62" s="615"/>
      <c r="I62" s="514"/>
      <c r="J62" s="1184"/>
      <c r="K62" s="1185"/>
      <c r="L62" s="1182"/>
      <c r="M62" s="1186"/>
      <c r="N62" s="1186"/>
    </row>
    <row r="63" spans="1:22" s="350" customFormat="1" ht="20.149999999999999" customHeight="1">
      <c r="A63" s="221"/>
      <c r="B63" s="226" t="s">
        <v>132</v>
      </c>
      <c r="C63" s="223" t="s">
        <v>133</v>
      </c>
      <c r="D63" s="227" t="s">
        <v>134</v>
      </c>
      <c r="E63" s="90"/>
      <c r="F63" s="226" t="s">
        <v>132</v>
      </c>
      <c r="G63" s="223" t="s">
        <v>133</v>
      </c>
      <c r="H63" s="227" t="s">
        <v>134</v>
      </c>
      <c r="I63" s="574"/>
      <c r="J63" s="1184"/>
      <c r="K63" s="1187"/>
      <c r="L63" s="1183"/>
      <c r="M63" s="1188"/>
      <c r="N63" s="1188"/>
    </row>
    <row r="64" spans="1:22" s="351" customFormat="1" ht="20.149999999999999" customHeight="1">
      <c r="A64" s="220"/>
      <c r="B64" s="104" t="s">
        <v>58</v>
      </c>
      <c r="C64" s="835" t="s">
        <v>365</v>
      </c>
      <c r="D64" s="381">
        <f>IF('Input Form'!$D$51="Y",D32*$V$49,IF('Input Form'!$D$51="N", 'Input Form'!D122,"N.A."))</f>
        <v>5</v>
      </c>
      <c r="E64" s="124"/>
      <c r="F64" s="104" t="s">
        <v>58</v>
      </c>
      <c r="G64" s="835" t="s">
        <v>374</v>
      </c>
      <c r="H64" s="381">
        <f>IF('Input Form'!$D$51="Y",H32*$V$49,IF('Input Form'!$D$51="N", 'Input Form'!I122,"N.A."))</f>
        <v>1.5</v>
      </c>
      <c r="I64" s="575"/>
      <c r="J64" s="1184"/>
      <c r="K64" s="1189"/>
      <c r="L64" s="1184"/>
      <c r="M64" s="1190"/>
      <c r="N64" s="1190"/>
    </row>
    <row r="65" spans="1:14" s="351" customFormat="1" ht="20.149999999999999" customHeight="1">
      <c r="A65" s="220"/>
      <c r="B65" s="105" t="s">
        <v>59</v>
      </c>
      <c r="C65" s="836" t="s">
        <v>366</v>
      </c>
      <c r="D65" s="381">
        <f>IF('Input Form'!$D$51="Y",D33*$V$49,IF('Input Form'!$D$51="N", 'Input Form'!D123,"N.A."))</f>
        <v>2089</v>
      </c>
      <c r="E65" s="126"/>
      <c r="F65" s="105" t="s">
        <v>59</v>
      </c>
      <c r="G65" s="836" t="s">
        <v>375</v>
      </c>
      <c r="H65" s="381">
        <f>IF('Input Form'!$D$51="Y",H33*$V$49,IF('Input Form'!$D$51="N", 'Input Form'!I123,"N.A."))</f>
        <v>1560</v>
      </c>
      <c r="I65" s="575"/>
      <c r="J65" s="1184"/>
      <c r="K65" s="1189"/>
      <c r="L65" s="1184"/>
      <c r="M65" s="1190"/>
      <c r="N65" s="1190"/>
    </row>
    <row r="66" spans="1:14" s="351" customFormat="1" ht="20.149999999999999" customHeight="1">
      <c r="A66" s="228"/>
      <c r="B66" s="107"/>
      <c r="C66" s="836" t="s">
        <v>367</v>
      </c>
      <c r="D66" s="381">
        <f>IF('Input Form'!$D$51="Y",D34*$V$49,IF('Input Form'!$D$51="N", 'Input Form'!D124,"N.A."))</f>
        <v>0</v>
      </c>
      <c r="E66" s="126"/>
      <c r="F66" s="107"/>
      <c r="G66" s="836" t="s">
        <v>376</v>
      </c>
      <c r="H66" s="381">
        <f>IF('Input Form'!$D$51="Y",H34*$V$49,IF('Input Form'!$D$51="N", 'Input Form'!I124,"N.A."))</f>
        <v>1549</v>
      </c>
      <c r="I66" s="513"/>
      <c r="J66" s="1184"/>
      <c r="K66" s="1189"/>
      <c r="L66" s="1184"/>
      <c r="M66" s="1190"/>
      <c r="N66" s="1190"/>
    </row>
    <row r="67" spans="1:14" s="351" customFormat="1" ht="20.149999999999999" customHeight="1">
      <c r="A67" s="229"/>
      <c r="B67" s="107"/>
      <c r="C67" s="836" t="s">
        <v>368</v>
      </c>
      <c r="D67" s="381">
        <f>IF('Input Form'!$D$51="Y",D35*$V$49,IF('Input Form'!$D$51="N", 'Input Form'!D125,"N.A."))</f>
        <v>0</v>
      </c>
      <c r="E67" s="126"/>
      <c r="F67" s="107"/>
      <c r="G67" s="836" t="s">
        <v>377</v>
      </c>
      <c r="H67" s="381">
        <f>IF('Input Form'!$D$51="Y",H35*$V$49,IF('Input Form'!$D$51="N", 'Input Form'!I125,"N.A."))</f>
        <v>0</v>
      </c>
      <c r="I67" s="514"/>
      <c r="J67" s="1184"/>
      <c r="K67" s="1189"/>
      <c r="L67" s="1184"/>
      <c r="M67" s="1190"/>
      <c r="N67" s="1190"/>
    </row>
    <row r="68" spans="1:14" s="351" customFormat="1" ht="20.149999999999999" customHeight="1">
      <c r="A68" s="229"/>
      <c r="B68" s="108"/>
      <c r="C68" s="836" t="s">
        <v>369</v>
      </c>
      <c r="D68" s="381">
        <f>IF('Input Form'!$D$51="Y",D36*$V$49,IF('Input Form'!$D$51="N", 'Input Form'!D126,"N.A."))</f>
        <v>0</v>
      </c>
      <c r="E68" s="126"/>
      <c r="F68" s="108"/>
      <c r="G68" s="836" t="s">
        <v>378</v>
      </c>
      <c r="H68" s="381">
        <f>IF('Input Form'!$D$51="Y",H36*$V$49,IF('Input Form'!$D$51="N", 'Input Form'!I126,"N.A."))</f>
        <v>0</v>
      </c>
      <c r="I68" s="514"/>
      <c r="J68" s="1184"/>
      <c r="K68" s="1189"/>
      <c r="L68" s="1184"/>
      <c r="M68" s="1190"/>
      <c r="N68" s="1190"/>
    </row>
    <row r="69" spans="1:14" s="351" customFormat="1" ht="20.149999999999999" customHeight="1">
      <c r="A69" s="229"/>
      <c r="B69" s="109" t="s">
        <v>135</v>
      </c>
      <c r="C69" s="836" t="s">
        <v>370</v>
      </c>
      <c r="D69" s="381">
        <f>IF('Input Form'!$D$51="Y",D37*$V$49,IF('Input Form'!$D$51="N", 'Input Form'!D127,"N.A."))</f>
        <v>106</v>
      </c>
      <c r="E69" s="126"/>
      <c r="F69" s="109" t="s">
        <v>135</v>
      </c>
      <c r="G69" s="836" t="s">
        <v>379</v>
      </c>
      <c r="H69" s="381">
        <f>IF('Input Form'!$D$51="Y",H37*$V$49,IF('Input Form'!$D$51="N", 'Input Form'!I127,"N.A."))</f>
        <v>60</v>
      </c>
      <c r="I69" s="514"/>
      <c r="J69" s="1184"/>
      <c r="K69" s="1189"/>
      <c r="L69" s="1184"/>
      <c r="M69" s="1190"/>
      <c r="N69" s="1190"/>
    </row>
    <row r="70" spans="1:14" s="351" customFormat="1" ht="20.149999999999999" customHeight="1">
      <c r="A70" s="229"/>
      <c r="B70" s="110"/>
      <c r="C70" s="836" t="s">
        <v>371</v>
      </c>
      <c r="D70" s="381">
        <f>IF('Input Form'!$D$51="Y",D38*$V$49,IF('Input Form'!$D$51="N", 'Input Form'!D128,"N.A."))</f>
        <v>0</v>
      </c>
      <c r="E70" s="126"/>
      <c r="F70" s="110"/>
      <c r="G70" s="836" t="s">
        <v>380</v>
      </c>
      <c r="H70" s="381">
        <f>IF('Input Form'!$D$51="Y",H38*$V$49,IF('Input Form'!$D$51="N", 'Input Form'!I128,"N.A."))</f>
        <v>60</v>
      </c>
      <c r="I70" s="514"/>
      <c r="J70" s="1173"/>
      <c r="K70" s="1189"/>
      <c r="L70" s="1184"/>
      <c r="M70" s="1190"/>
      <c r="N70" s="1190"/>
    </row>
    <row r="71" spans="1:14" s="351" customFormat="1" ht="20.149999999999999" customHeight="1">
      <c r="A71" s="229"/>
      <c r="B71" s="110"/>
      <c r="C71" s="836" t="s">
        <v>372</v>
      </c>
      <c r="D71" s="381">
        <f>IF('Input Form'!$D$51="Y",D39*$V$49,IF('Input Form'!$D$51="N", 'Input Form'!D129,"N.A."))</f>
        <v>0</v>
      </c>
      <c r="E71" s="126"/>
      <c r="F71" s="110"/>
      <c r="G71" s="836" t="s">
        <v>381</v>
      </c>
      <c r="H71" s="381">
        <f>IF('Input Form'!$D$51="Y",H39*$V$49,IF('Input Form'!$D$51="N", 'Input Form'!I129,"N.A."))</f>
        <v>0</v>
      </c>
      <c r="I71" s="514"/>
      <c r="J71" s="1182"/>
      <c r="K71" s="1189"/>
      <c r="L71" s="1184"/>
      <c r="M71" s="1190"/>
      <c r="N71" s="1190"/>
    </row>
    <row r="72" spans="1:14" s="351" customFormat="1" ht="20.149999999999999" customHeight="1">
      <c r="A72" s="229"/>
      <c r="B72" s="111"/>
      <c r="C72" s="836" t="s">
        <v>373</v>
      </c>
      <c r="D72" s="381">
        <f>IF('Input Form'!$D$51="Y",D40*$V$49,IF('Input Form'!$D$51="N", 'Input Form'!D130,"N.A."))</f>
        <v>0</v>
      </c>
      <c r="E72" s="126"/>
      <c r="F72" s="111"/>
      <c r="G72" s="836" t="s">
        <v>382</v>
      </c>
      <c r="H72" s="381">
        <f>IF('Input Form'!$D$51="Y",H40*$V$49,IF('Input Form'!$D$51="N", 'Input Form'!I130,"N.A."))</f>
        <v>0</v>
      </c>
      <c r="I72" s="514"/>
      <c r="J72" s="1182"/>
      <c r="K72" s="1189"/>
      <c r="L72" s="1184"/>
      <c r="M72" s="1190"/>
      <c r="N72" s="1190"/>
    </row>
    <row r="73" spans="1:14" s="348" customFormat="1" ht="6" customHeight="1">
      <c r="A73" s="229"/>
      <c r="B73" s="97"/>
      <c r="C73" s="97"/>
      <c r="D73" s="98"/>
      <c r="E73" s="97"/>
      <c r="F73" s="97"/>
      <c r="G73" s="97"/>
      <c r="H73" s="676"/>
      <c r="I73" s="514"/>
      <c r="J73" s="1183"/>
      <c r="K73" s="1172"/>
      <c r="L73" s="1173"/>
      <c r="M73" s="1171"/>
      <c r="N73" s="1171"/>
    </row>
    <row r="74" spans="1:14" s="349" customFormat="1" ht="14">
      <c r="A74" s="220" t="s">
        <v>136</v>
      </c>
      <c r="B74" s="123" t="s">
        <v>137</v>
      </c>
      <c r="C74" s="123"/>
      <c r="D74" s="225"/>
      <c r="E74" s="123"/>
      <c r="F74" s="123"/>
      <c r="G74" s="123"/>
      <c r="H74" s="716"/>
      <c r="I74" s="574"/>
      <c r="J74" s="1184"/>
      <c r="K74" s="1185"/>
      <c r="L74" s="1182"/>
      <c r="M74" s="1186"/>
      <c r="N74" s="1186"/>
    </row>
    <row r="75" spans="1:14" s="349" customFormat="1" ht="20.149999999999999" customHeight="1">
      <c r="A75" s="220" t="s">
        <v>23</v>
      </c>
      <c r="B75" s="123" t="s">
        <v>138</v>
      </c>
      <c r="C75" s="123"/>
      <c r="D75" s="225"/>
      <c r="E75" s="123"/>
      <c r="F75" s="123"/>
      <c r="G75" s="123"/>
      <c r="H75" s="716"/>
      <c r="I75" s="574"/>
      <c r="J75" s="1184"/>
      <c r="K75" s="1185"/>
      <c r="L75" s="1182"/>
      <c r="M75" s="1186"/>
      <c r="N75" s="1186"/>
    </row>
    <row r="76" spans="1:14" s="350" customFormat="1" ht="19.5">
      <c r="A76" s="220"/>
      <c r="B76" s="235" t="s">
        <v>272</v>
      </c>
      <c r="C76" s="841" t="s">
        <v>394</v>
      </c>
      <c r="D76" s="380">
        <v>0.5</v>
      </c>
      <c r="E76" s="708"/>
      <c r="F76" s="842" t="s">
        <v>396</v>
      </c>
      <c r="G76" s="709">
        <v>0.04</v>
      </c>
      <c r="H76" s="710" t="s">
        <v>281</v>
      </c>
      <c r="I76" s="515"/>
      <c r="J76" s="1181" t="s">
        <v>276</v>
      </c>
      <c r="K76" s="1187"/>
      <c r="L76" s="1183"/>
      <c r="M76" s="1188"/>
      <c r="N76" s="1188"/>
    </row>
    <row r="77" spans="1:14" s="351" customFormat="1" ht="20.149999999999999" customHeight="1">
      <c r="A77" s="220"/>
      <c r="B77" s="711"/>
      <c r="C77" s="841" t="s">
        <v>395</v>
      </c>
      <c r="D77" s="380">
        <v>1</v>
      </c>
      <c r="E77" s="382"/>
      <c r="F77" s="841" t="s">
        <v>397</v>
      </c>
      <c r="G77" s="709">
        <v>1</v>
      </c>
      <c r="H77" s="712"/>
      <c r="I77" s="515"/>
      <c r="J77" s="1304" t="s">
        <v>496</v>
      </c>
      <c r="K77" s="1305"/>
      <c r="L77" s="1184"/>
      <c r="M77" s="1190"/>
      <c r="N77" s="1190"/>
    </row>
    <row r="78" spans="1:14" s="351" customFormat="1" ht="20.149999999999999" customHeight="1">
      <c r="A78" s="220"/>
      <c r="B78" s="233"/>
      <c r="C78" s="234"/>
      <c r="D78" s="115"/>
      <c r="E78" s="233"/>
      <c r="F78" s="233"/>
      <c r="G78" s="233"/>
      <c r="H78" s="553"/>
      <c r="I78" s="575"/>
      <c r="J78" s="1306"/>
      <c r="K78" s="1305"/>
      <c r="L78" s="1184"/>
      <c r="M78" s="1190"/>
      <c r="N78" s="1190"/>
    </row>
    <row r="79" spans="1:14" s="351" customFormat="1" ht="14">
      <c r="A79" s="220" t="s">
        <v>66</v>
      </c>
      <c r="B79" s="123" t="s">
        <v>51</v>
      </c>
      <c r="C79" s="123"/>
      <c r="D79" s="225"/>
      <c r="E79" s="123"/>
      <c r="F79" s="123"/>
      <c r="G79" s="90"/>
      <c r="H79" s="553"/>
      <c r="I79" s="575"/>
      <c r="J79" s="1306"/>
      <c r="K79" s="1305"/>
      <c r="L79" s="1184"/>
      <c r="M79" s="1190"/>
      <c r="N79" s="1190"/>
    </row>
    <row r="80" spans="1:14" s="351" customFormat="1" ht="15" customHeight="1">
      <c r="A80" s="220"/>
      <c r="B80" s="385" t="s">
        <v>244</v>
      </c>
      <c r="C80" s="387" t="s">
        <v>52</v>
      </c>
      <c r="D80" s="225"/>
      <c r="E80" s="123"/>
      <c r="F80" s="385" t="s">
        <v>245</v>
      </c>
      <c r="G80" s="387" t="s">
        <v>53</v>
      </c>
      <c r="H80" s="553"/>
      <c r="I80" s="575"/>
      <c r="J80" s="1306"/>
      <c r="K80" s="1305"/>
      <c r="L80" s="1184"/>
      <c r="M80" s="1190"/>
      <c r="N80" s="1190"/>
    </row>
    <row r="81" spans="1:14" s="351" customFormat="1" ht="20.149999999999999" customHeight="1">
      <c r="A81" s="220"/>
      <c r="B81" s="837" t="s">
        <v>383</v>
      </c>
      <c r="C81" s="391">
        <f>IF(D20&lt;=0,0,(Zetak1+Zetak2+lambdaC*(D24/(2*D$19)))*(1/(2*PI()*D20*D$19))^2*DA^4)</f>
        <v>0</v>
      </c>
      <c r="D81" s="91"/>
      <c r="E81" s="90"/>
      <c r="F81" s="837" t="s">
        <v>389</v>
      </c>
      <c r="G81" s="391">
        <f>IF(H20&lt;=0,0,(Zetak1+Zetak2+lambdaC*(H24/(2*H$19)))*(1/(2*PI()*H20*H$19))^2*DA^4)</f>
        <v>0</v>
      </c>
      <c r="H81" s="553"/>
      <c r="I81" s="575"/>
      <c r="J81" s="1306"/>
      <c r="K81" s="1305"/>
      <c r="L81" s="1184"/>
      <c r="M81" s="1190"/>
      <c r="N81" s="1190"/>
    </row>
    <row r="82" spans="1:14" s="351" customFormat="1" ht="20.149999999999999" customHeight="1">
      <c r="A82" s="220"/>
      <c r="B82" s="837" t="s">
        <v>384</v>
      </c>
      <c r="C82" s="391">
        <f>IF(D21&lt;=0,0,(Zetak2+lambdaC*(D25/(2*D$19)))*(1/(2*PI()*D21*D$19))^2*DA^4)</f>
        <v>0</v>
      </c>
      <c r="D82" s="91"/>
      <c r="E82" s="90"/>
      <c r="F82" s="837" t="s">
        <v>390</v>
      </c>
      <c r="G82" s="391">
        <f>IF(H21&lt;=0,0,(Zetak2+lambdaC*(H25/(2*H$19)))*(1/(2*PI()*H21*H$19))^2*DA^4)</f>
        <v>0</v>
      </c>
      <c r="H82" s="553"/>
      <c r="I82" s="575"/>
      <c r="J82" s="1306"/>
      <c r="K82" s="1305"/>
      <c r="L82" s="1184"/>
      <c r="M82" s="1190"/>
      <c r="N82" s="1190"/>
    </row>
    <row r="83" spans="1:14" s="351" customFormat="1" ht="20.149999999999999" customHeight="1">
      <c r="A83" s="220"/>
      <c r="B83" s="837" t="s">
        <v>385</v>
      </c>
      <c r="C83" s="391">
        <f>IF(D22&lt;=0,0,(Zetak2+lambdaC*(D26/(2*D$19)))*(1/(2*PI()*D22*D$19))^2*DA^4)</f>
        <v>0</v>
      </c>
      <c r="D83" s="91"/>
      <c r="E83" s="90"/>
      <c r="F83" s="837" t="s">
        <v>391</v>
      </c>
      <c r="G83" s="391">
        <f>IF(H22&lt;=0,0,(Zetak2+lambdaC*(H26/(2*H$19)))*(1/(2*PI()*H22*H$19))^2*DA^4)</f>
        <v>0</v>
      </c>
      <c r="H83" s="553"/>
      <c r="I83" s="575"/>
      <c r="J83" s="1164"/>
      <c r="K83" s="1189"/>
      <c r="L83" s="1184"/>
      <c r="M83" s="1190"/>
      <c r="N83" s="1190"/>
    </row>
    <row r="84" spans="1:14" s="351" customFormat="1" ht="20.149999999999999" customHeight="1">
      <c r="A84" s="220"/>
      <c r="B84" s="837" t="s">
        <v>386</v>
      </c>
      <c r="C84" s="391">
        <f>IF(D23&lt;=0,0,(ZetakS+lambdaC*(D27/(2*D$19)))*(1/(2*PI()*D23*D$19))^2*DA^4)</f>
        <v>0</v>
      </c>
      <c r="D84" s="91"/>
      <c r="E84" s="90"/>
      <c r="F84" s="837" t="s">
        <v>392</v>
      </c>
      <c r="G84" s="391">
        <f>IF(H23&lt;=0,0,(ZetakS+lambdaC*(H27/(2*H$19)))*(1/(2*PI()*H23*H$19))^2*DA^4)</f>
        <v>0</v>
      </c>
      <c r="H84" s="553"/>
      <c r="I84" s="575"/>
      <c r="J84" s="1164"/>
      <c r="K84" s="1189"/>
      <c r="L84" s="1184"/>
      <c r="M84" s="1190"/>
      <c r="N84" s="1190"/>
    </row>
    <row r="85" spans="1:14" ht="20.149999999999999" customHeight="1">
      <c r="A85" s="220" t="s">
        <v>0</v>
      </c>
      <c r="B85" s="838" t="s">
        <v>387</v>
      </c>
      <c r="C85" s="391">
        <f>SUM(C81,C82,C83,C84)</f>
        <v>0</v>
      </c>
      <c r="D85" s="236"/>
      <c r="E85" s="237"/>
      <c r="F85" s="840" t="s">
        <v>393</v>
      </c>
      <c r="G85" s="393">
        <f>SUM(G81,G82,G83,G84)</f>
        <v>0</v>
      </c>
      <c r="H85" s="717"/>
      <c r="I85" s="575"/>
      <c r="J85" s="1182"/>
      <c r="K85" s="1172"/>
      <c r="L85" s="1173"/>
      <c r="M85" s="1171"/>
      <c r="N85" s="1171"/>
    </row>
    <row r="86" spans="1:14" ht="19.5" customHeight="1">
      <c r="A86" s="220"/>
      <c r="B86" s="839" t="s">
        <v>388</v>
      </c>
      <c r="C86" s="392">
        <f>C85+G85</f>
        <v>0</v>
      </c>
      <c r="D86" s="98"/>
      <c r="E86" s="97"/>
      <c r="F86" s="97"/>
      <c r="G86" s="239"/>
      <c r="H86" s="676"/>
      <c r="I86" s="575"/>
      <c r="J86" s="1182"/>
      <c r="K86" s="1172"/>
      <c r="L86" s="1173"/>
      <c r="M86" s="1171"/>
      <c r="N86" s="1171"/>
    </row>
    <row r="87" spans="1:14" s="352" customFormat="1" ht="7.5" customHeight="1">
      <c r="A87" s="220"/>
      <c r="B87" s="222"/>
      <c r="C87" s="240"/>
      <c r="D87" s="98"/>
      <c r="E87" s="97"/>
      <c r="F87" s="97"/>
      <c r="G87" s="239"/>
      <c r="H87" s="676"/>
      <c r="I87" s="575"/>
      <c r="J87" s="1182"/>
      <c r="K87" s="1192"/>
      <c r="L87" s="1164"/>
      <c r="M87" s="1167"/>
      <c r="N87" s="1167"/>
    </row>
    <row r="88" spans="1:14" s="352" customFormat="1" ht="14">
      <c r="A88" s="220" t="s">
        <v>68</v>
      </c>
      <c r="B88" s="123" t="s">
        <v>62</v>
      </c>
      <c r="C88" s="241"/>
      <c r="D88" s="225"/>
      <c r="E88" s="123"/>
      <c r="F88" s="123"/>
      <c r="G88" s="237"/>
      <c r="H88" s="553"/>
      <c r="I88" s="246"/>
      <c r="J88" s="1182"/>
      <c r="K88" s="1192"/>
      <c r="L88" s="1164"/>
      <c r="M88" s="1167"/>
      <c r="N88" s="1167"/>
    </row>
    <row r="89" spans="1:14" s="352" customFormat="1" ht="14">
      <c r="A89" s="221"/>
      <c r="B89" s="389" t="s">
        <v>246</v>
      </c>
      <c r="C89" s="387" t="s">
        <v>52</v>
      </c>
      <c r="D89" s="225"/>
      <c r="E89" s="123"/>
      <c r="F89" s="389" t="s">
        <v>247</v>
      </c>
      <c r="G89" s="387" t="s">
        <v>53</v>
      </c>
      <c r="H89" s="553"/>
      <c r="I89" s="574"/>
      <c r="J89" s="1182"/>
      <c r="K89" s="1192"/>
      <c r="L89" s="1164"/>
      <c r="M89" s="1167"/>
      <c r="N89" s="1167"/>
    </row>
    <row r="90" spans="1:14" s="349" customFormat="1" ht="18" customHeight="1">
      <c r="A90" s="221"/>
      <c r="B90" s="837" t="s">
        <v>399</v>
      </c>
      <c r="C90" s="391">
        <f>IF(D33&lt;=0,0,(Zetak1+Zetak2+lambdaC*(D37/(2*D$32)))*(1/(2*PI()*D33*D$32))^2*DA^4)</f>
        <v>0</v>
      </c>
      <c r="D90" s="98"/>
      <c r="E90" s="97"/>
      <c r="F90" s="837" t="s">
        <v>405</v>
      </c>
      <c r="G90" s="391">
        <f>IF(H33&lt;=0,0,(Zetak1+Zetak2+lambdaC*(H37/(2*H$32)))*(1/(2*PI()*H33*H$32))^2*DA^4)</f>
        <v>0</v>
      </c>
      <c r="H90" s="676"/>
      <c r="I90" s="574"/>
      <c r="J90" s="1182"/>
      <c r="K90" s="1185"/>
      <c r="L90" s="1182"/>
      <c r="M90" s="1186"/>
      <c r="N90" s="1186"/>
    </row>
    <row r="91" spans="1:14" s="349" customFormat="1" ht="22.5" customHeight="1">
      <c r="A91" s="220"/>
      <c r="B91" s="837" t="s">
        <v>400</v>
      </c>
      <c r="C91" s="391">
        <f>IF(D34&lt;=0,0,(Zetak2+lambdaC*(D38/(2*D$32)))*(1/(2*PI()*D34*D$32))^2*DA^4)</f>
        <v>0</v>
      </c>
      <c r="D91" s="98"/>
      <c r="E91" s="97"/>
      <c r="F91" s="837" t="s">
        <v>406</v>
      </c>
      <c r="G91" s="391">
        <f>IF(H34&lt;=0,0,(Zetak2+lambdaC*(H38/(2*H$32)))*(1/(2*PI()*H34*H$32))^2*DA^4)</f>
        <v>0</v>
      </c>
      <c r="H91" s="676"/>
      <c r="I91" s="575"/>
      <c r="J91" s="1182"/>
      <c r="K91" s="1185"/>
      <c r="L91" s="1182"/>
      <c r="M91" s="1186"/>
      <c r="N91" s="1186"/>
    </row>
    <row r="92" spans="1:14" s="349" customFormat="1" ht="19.5" customHeight="1">
      <c r="A92" s="221"/>
      <c r="B92" s="837" t="s">
        <v>401</v>
      </c>
      <c r="C92" s="391">
        <f>IF(D35&lt;=0,0,(Zetak2+lambdaC*(D39/(2*D$32)))*(1/(2*PI()*D35*D$32))^2*DA^4)</f>
        <v>0</v>
      </c>
      <c r="D92" s="98"/>
      <c r="E92" s="97"/>
      <c r="F92" s="837" t="s">
        <v>407</v>
      </c>
      <c r="G92" s="391">
        <f>IF(H35&lt;=0,0,(Zetak2+lambdaC*(H39/(2*H$32)))*(1/(2*PI()*H35*H$32))^2*DA^4)</f>
        <v>0</v>
      </c>
      <c r="H92" s="676"/>
      <c r="I92" s="574"/>
      <c r="J92" s="1182"/>
      <c r="K92" s="1185"/>
      <c r="L92" s="1182"/>
      <c r="M92" s="1186"/>
      <c r="N92" s="1186"/>
    </row>
    <row r="93" spans="1:14" s="349" customFormat="1" ht="18" customHeight="1">
      <c r="A93" s="221"/>
      <c r="B93" s="837" t="s">
        <v>402</v>
      </c>
      <c r="C93" s="391">
        <f>IF(D36&lt;=0,0,(ZetakS+lambdaC*(D40/(2*D$32)))*(1/(2*PI()*D36*D$32))^2*DA^4)</f>
        <v>0</v>
      </c>
      <c r="D93" s="98"/>
      <c r="E93" s="97"/>
      <c r="F93" s="837" t="s">
        <v>408</v>
      </c>
      <c r="G93" s="391">
        <f>IF(H36&lt;=0,0,(ZetakS+lambdaC*(H40/(2*H$32)))*(1/(2*PI()*H36*H$32))^2*DA^4)</f>
        <v>0</v>
      </c>
      <c r="H93" s="676"/>
      <c r="I93" s="574"/>
      <c r="J93" s="1182"/>
      <c r="K93" s="1185"/>
      <c r="L93" s="1182"/>
      <c r="M93" s="1186"/>
      <c r="N93" s="1186"/>
    </row>
    <row r="94" spans="1:14" s="349" customFormat="1" ht="20.149999999999999" customHeight="1">
      <c r="A94" s="221"/>
      <c r="B94" s="838" t="s">
        <v>403</v>
      </c>
      <c r="C94" s="391">
        <f>SUM(C90:C93)</f>
        <v>0</v>
      </c>
      <c r="D94" s="236"/>
      <c r="E94" s="237"/>
      <c r="F94" s="840" t="s">
        <v>409</v>
      </c>
      <c r="G94" s="393">
        <f>SUM(G90:G93)</f>
        <v>0</v>
      </c>
      <c r="H94" s="717"/>
      <c r="I94" s="574"/>
      <c r="J94" s="1182"/>
      <c r="K94" s="1185"/>
      <c r="L94" s="1182"/>
      <c r="M94" s="1186"/>
      <c r="N94" s="1186"/>
    </row>
    <row r="95" spans="1:14" s="349" customFormat="1" ht="18" customHeight="1">
      <c r="A95" s="221"/>
      <c r="B95" s="839" t="s">
        <v>404</v>
      </c>
      <c r="C95" s="392">
        <f>C94+G94</f>
        <v>0</v>
      </c>
      <c r="D95" s="98"/>
      <c r="E95" s="97"/>
      <c r="F95" s="97"/>
      <c r="G95" s="97"/>
      <c r="H95" s="676"/>
      <c r="I95" s="574"/>
      <c r="J95" s="1193"/>
      <c r="K95" s="1185"/>
      <c r="L95" s="1182"/>
      <c r="M95" s="1186"/>
      <c r="N95" s="1186"/>
    </row>
    <row r="96" spans="1:14" s="349" customFormat="1" ht="6.75" customHeight="1">
      <c r="A96" s="221"/>
      <c r="B96" s="222"/>
      <c r="C96" s="240"/>
      <c r="D96" s="98"/>
      <c r="E96" s="97"/>
      <c r="F96" s="97"/>
      <c r="G96" s="97"/>
      <c r="H96" s="676"/>
      <c r="I96" s="574"/>
      <c r="J96" s="1173"/>
      <c r="K96" s="1185"/>
      <c r="L96" s="1182"/>
      <c r="M96" s="1186"/>
      <c r="N96" s="1186"/>
    </row>
    <row r="97" spans="1:14" s="349" customFormat="1" ht="14">
      <c r="A97" s="242" t="s">
        <v>70</v>
      </c>
      <c r="B97" s="96" t="s">
        <v>139</v>
      </c>
      <c r="C97" s="239"/>
      <c r="D97" s="98"/>
      <c r="E97" s="97"/>
      <c r="F97" s="97"/>
      <c r="G97" s="97"/>
      <c r="H97" s="676"/>
      <c r="I97" s="246"/>
      <c r="J97" s="1173"/>
      <c r="K97" s="1185"/>
      <c r="L97" s="1182"/>
      <c r="M97" s="1186"/>
      <c r="N97" s="1186"/>
    </row>
    <row r="98" spans="1:14" s="349" customFormat="1" ht="18" customHeight="1">
      <c r="A98" s="221"/>
      <c r="B98" s="839" t="s">
        <v>398</v>
      </c>
      <c r="C98" s="238" t="e">
        <f>C86*C95/((SQRT(C86)+SQRT(C95))^2)</f>
        <v>#DIV/0!</v>
      </c>
      <c r="D98" s="240"/>
      <c r="E98" s="97"/>
      <c r="F98" s="97"/>
      <c r="G98" s="97"/>
      <c r="H98" s="676"/>
      <c r="I98" s="574"/>
      <c r="J98" s="1173"/>
      <c r="K98" s="1185"/>
      <c r="L98" s="1182"/>
      <c r="M98" s="1186"/>
      <c r="N98" s="1186"/>
    </row>
    <row r="99" spans="1:14" s="353" customFormat="1" ht="9" customHeight="1">
      <c r="A99" s="221"/>
      <c r="B99" s="123"/>
      <c r="C99" s="97"/>
      <c r="D99" s="97"/>
      <c r="E99" s="97"/>
      <c r="F99" s="97"/>
      <c r="G99" s="123"/>
      <c r="H99" s="253"/>
      <c r="I99" s="253"/>
      <c r="J99" s="1173"/>
      <c r="K99" s="1194"/>
      <c r="L99" s="1193"/>
      <c r="M99" s="1195"/>
      <c r="N99" s="1195"/>
    </row>
    <row r="100" spans="1:14" s="348" customFormat="1" ht="14">
      <c r="A100" s="220" t="s">
        <v>24</v>
      </c>
      <c r="B100" s="123" t="s">
        <v>140</v>
      </c>
      <c r="C100" s="90"/>
      <c r="D100" s="91"/>
      <c r="E100" s="123"/>
      <c r="F100" s="123"/>
      <c r="G100" s="123"/>
      <c r="H100" s="716"/>
      <c r="I100" s="574"/>
      <c r="J100" s="1174"/>
      <c r="K100" s="1196"/>
      <c r="L100" s="1174"/>
      <c r="N100" s="1171"/>
    </row>
    <row r="101" spans="1:14" s="348" customFormat="1" ht="14">
      <c r="A101" s="220" t="s">
        <v>141</v>
      </c>
      <c r="B101" s="123" t="s">
        <v>51</v>
      </c>
      <c r="C101" s="90"/>
      <c r="D101" s="230"/>
      <c r="E101" s="90"/>
      <c r="F101" s="90"/>
      <c r="G101" s="90"/>
      <c r="H101" s="718"/>
      <c r="I101" s="515"/>
      <c r="J101" s="1173"/>
      <c r="K101" s="1172"/>
      <c r="L101" s="1173"/>
      <c r="M101" s="1171"/>
      <c r="N101" s="1171"/>
    </row>
    <row r="102" spans="1:14" s="349" customFormat="1" ht="14">
      <c r="A102" s="220"/>
      <c r="B102" s="389" t="s">
        <v>250</v>
      </c>
      <c r="C102" s="387" t="s">
        <v>52</v>
      </c>
      <c r="D102" s="225"/>
      <c r="E102" s="123"/>
      <c r="F102" s="389" t="s">
        <v>251</v>
      </c>
      <c r="G102" s="387" t="s">
        <v>53</v>
      </c>
      <c r="H102" s="553"/>
      <c r="I102" s="515"/>
      <c r="J102" s="1182"/>
      <c r="K102" s="1185"/>
      <c r="L102" s="1182"/>
      <c r="M102" s="1186"/>
      <c r="N102" s="1186"/>
    </row>
    <row r="103" spans="1:14" s="348" customFormat="1" ht="18" customHeight="1">
      <c r="A103" s="220"/>
      <c r="B103" s="843" t="s">
        <v>383</v>
      </c>
      <c r="C103" s="393">
        <f>IF(D51&lt;=0,0,(Zetak1+Zetak2+lambdaC*(D55/(2*D$50)))*(1/(2*PI()*D51*D$50))^2*DB^4)</f>
        <v>0</v>
      </c>
      <c r="D103" s="91"/>
      <c r="E103" s="90"/>
      <c r="F103" s="845" t="s">
        <v>389</v>
      </c>
      <c r="G103" s="391">
        <f>IF(H51&lt;=0,0,(Zetak1+Zetak2+lambdaC*(H55/(2*H$50)))*(1/(2*PI()*H51*H$50))^2*DB^4)</f>
        <v>0</v>
      </c>
      <c r="H103" s="553"/>
      <c r="I103" s="575"/>
      <c r="J103" s="1193"/>
      <c r="K103" s="1172"/>
      <c r="L103" s="1173"/>
      <c r="M103" s="1171"/>
      <c r="N103" s="1171"/>
    </row>
    <row r="104" spans="1:14" s="348" customFormat="1" ht="18" customHeight="1">
      <c r="A104" s="220"/>
      <c r="B104" s="843" t="s">
        <v>384</v>
      </c>
      <c r="C104" s="393">
        <f>IF(D52&lt;=0,0,(Zetak2+lambdaC*(D56/(2*D$50)))*(1/(2*PI()*D52*D$50))^2*DB^4)</f>
        <v>0</v>
      </c>
      <c r="D104" s="91"/>
      <c r="E104" s="90"/>
      <c r="F104" s="845" t="s">
        <v>390</v>
      </c>
      <c r="G104" s="391">
        <f>IF(H52&lt;=0,0,(Zetak2+lambdaC*(H56/(2*H$50)))*(1/(2*PI()*H52*H$50))^2*DB^4)</f>
        <v>0</v>
      </c>
      <c r="H104" s="553"/>
      <c r="I104" s="575"/>
      <c r="J104" s="1173"/>
      <c r="K104" s="1172"/>
      <c r="L104" s="1173"/>
      <c r="M104" s="1171"/>
      <c r="N104" s="1171"/>
    </row>
    <row r="105" spans="1:14" s="348" customFormat="1" ht="18" customHeight="1">
      <c r="A105" s="220"/>
      <c r="B105" s="843" t="s">
        <v>385</v>
      </c>
      <c r="C105" s="393">
        <f>IF(D53&lt;=0,0,(Zetak2+lambdaC*(D57/(2*D$50)))*(1/(2*PI()*D53*D$50))^2*DB^4)</f>
        <v>0</v>
      </c>
      <c r="D105" s="91"/>
      <c r="E105" s="90"/>
      <c r="F105" s="845" t="s">
        <v>391</v>
      </c>
      <c r="G105" s="391">
        <f>IF(H53&lt;=0,0,(Zetak2+lambdaC*(H57/(2*H$50)))*(1/(2*PI()*H53*H$50))^2*DB^4)</f>
        <v>0</v>
      </c>
      <c r="H105" s="553"/>
      <c r="I105" s="575"/>
      <c r="J105" s="1173"/>
      <c r="K105" s="1172"/>
      <c r="L105" s="1173"/>
      <c r="M105" s="1171"/>
      <c r="N105" s="1171"/>
    </row>
    <row r="106" spans="1:14" ht="18" customHeight="1">
      <c r="A106" s="220"/>
      <c r="B106" s="843" t="s">
        <v>386</v>
      </c>
      <c r="C106" s="393">
        <f>IF(D54&lt;=0,0,(ZetakS+lambdaC*(D58/(2*D$50)))*(1/(2*PI()*D54*D$50))^2*DB^4)</f>
        <v>0</v>
      </c>
      <c r="D106" s="91"/>
      <c r="E106" s="90"/>
      <c r="F106" s="845" t="s">
        <v>411</v>
      </c>
      <c r="G106" s="391">
        <f>IF(H54&lt;=0,0,(ZetakS+lambdaC*(H58/(2*H$50)))*(1/(2*PI()*H54*H$50))^2*DB^4)</f>
        <v>0</v>
      </c>
      <c r="H106" s="553"/>
      <c r="I106" s="575"/>
      <c r="J106" s="1173"/>
      <c r="K106" s="1172"/>
      <c r="L106" s="1173"/>
      <c r="M106" s="1171"/>
      <c r="N106" s="1171"/>
    </row>
    <row r="107" spans="1:14" s="353" customFormat="1" ht="18" customHeight="1">
      <c r="A107" s="220"/>
      <c r="B107" s="840" t="s">
        <v>410</v>
      </c>
      <c r="C107" s="393">
        <f>SUM(C103:C106)</f>
        <v>0</v>
      </c>
      <c r="D107" s="236"/>
      <c r="E107" s="237"/>
      <c r="F107" s="846" t="s">
        <v>412</v>
      </c>
      <c r="G107" s="393">
        <f>SUM(G103:G106)</f>
        <v>0</v>
      </c>
      <c r="H107" s="717"/>
      <c r="I107" s="575"/>
      <c r="J107" s="1173"/>
      <c r="K107" s="1194"/>
      <c r="L107" s="1193"/>
      <c r="M107" s="1195"/>
      <c r="N107" s="1195"/>
    </row>
    <row r="108" spans="1:14" s="348" customFormat="1" ht="18" customHeight="1">
      <c r="A108" s="220"/>
      <c r="B108" s="844" t="s">
        <v>388</v>
      </c>
      <c r="C108" s="392">
        <f>C107+G107</f>
        <v>0</v>
      </c>
      <c r="D108" s="243"/>
      <c r="E108" s="239"/>
      <c r="F108" s="239"/>
      <c r="G108" s="239"/>
      <c r="H108" s="719"/>
      <c r="I108" s="575"/>
      <c r="J108" s="1164"/>
      <c r="K108" s="1172"/>
      <c r="L108" s="1173"/>
      <c r="M108" s="1171"/>
      <c r="N108" s="1171"/>
    </row>
    <row r="109" spans="1:14" s="348" customFormat="1" ht="6" customHeight="1">
      <c r="A109" s="220"/>
      <c r="B109" s="240"/>
      <c r="C109" s="394"/>
      <c r="D109" s="243"/>
      <c r="E109" s="239"/>
      <c r="F109" s="239"/>
      <c r="G109" s="239"/>
      <c r="H109" s="719"/>
      <c r="I109" s="575"/>
      <c r="J109" s="1164"/>
      <c r="K109" s="1172"/>
      <c r="L109" s="1173"/>
      <c r="M109" s="1171"/>
      <c r="N109" s="1171"/>
    </row>
    <row r="110" spans="1:14" s="348" customFormat="1" ht="14">
      <c r="A110" s="221" t="s">
        <v>142</v>
      </c>
      <c r="B110" s="244" t="s">
        <v>62</v>
      </c>
      <c r="C110" s="239"/>
      <c r="D110" s="98"/>
      <c r="E110" s="97"/>
      <c r="F110" s="97"/>
      <c r="G110" s="239"/>
      <c r="H110" s="676"/>
      <c r="I110" s="246"/>
      <c r="J110" s="1164"/>
      <c r="K110" s="1172"/>
      <c r="L110" s="1173"/>
      <c r="M110" s="1171"/>
      <c r="N110" s="1171"/>
    </row>
    <row r="111" spans="1:14" s="348" customFormat="1" ht="14">
      <c r="A111" s="245"/>
      <c r="B111" s="389" t="s">
        <v>248</v>
      </c>
      <c r="C111" s="388" t="s">
        <v>52</v>
      </c>
      <c r="D111" s="225"/>
      <c r="E111" s="123"/>
      <c r="F111" s="389" t="s">
        <v>249</v>
      </c>
      <c r="G111" s="387" t="s">
        <v>53</v>
      </c>
      <c r="H111" s="553"/>
      <c r="I111" s="240"/>
      <c r="J111" s="1182"/>
      <c r="K111" s="1172"/>
      <c r="L111" s="1173"/>
      <c r="M111" s="1171"/>
      <c r="N111" s="1171"/>
    </row>
    <row r="112" spans="1:14" ht="18" customHeight="1">
      <c r="A112" s="221"/>
      <c r="B112" s="837" t="s">
        <v>399</v>
      </c>
      <c r="C112" s="391">
        <f>IF(D65&lt;=0,0,(Zetak1+Zetak2+lambdaC*(D69/(2*D$64)))*(1/(2*PI()*D65*D$64))^2*DB^4)</f>
        <v>0</v>
      </c>
      <c r="D112" s="98"/>
      <c r="E112" s="97"/>
      <c r="F112" s="837" t="s">
        <v>405</v>
      </c>
      <c r="G112" s="391">
        <f>IF(H65&lt;=0,0,(Zetak1+Zetak2+lambdaC*(H69/(2*H$64)))*(1/(2*PI()*H65*H$64))^2*DB^4)</f>
        <v>0</v>
      </c>
      <c r="H112" s="676"/>
      <c r="I112" s="574"/>
      <c r="J112" s="1182"/>
      <c r="K112" s="1172"/>
      <c r="L112" s="1173"/>
      <c r="M112" s="1171"/>
      <c r="N112" s="1171"/>
    </row>
    <row r="113" spans="1:14" s="352" customFormat="1" ht="18" customHeight="1">
      <c r="A113" s="220"/>
      <c r="B113" s="837" t="s">
        <v>400</v>
      </c>
      <c r="C113" s="391">
        <f>IF(D66&lt;=0,0,(Zetak2+lambdaC*(D70/(2*D$64)))*(1/(2*PI()*D66*D$64))^2*DB^4)</f>
        <v>0</v>
      </c>
      <c r="D113" s="98"/>
      <c r="E113" s="97"/>
      <c r="F113" s="837" t="s">
        <v>406</v>
      </c>
      <c r="G113" s="391">
        <f>IF(H66&lt;=0,0,(Zetak2+lambdaC*(H70/(2*H$64)))*(1/(2*PI()*H66*H$64))^2*DB^4)</f>
        <v>0</v>
      </c>
      <c r="H113" s="676"/>
      <c r="I113" s="575"/>
      <c r="J113" s="1182"/>
      <c r="K113" s="1192"/>
      <c r="L113" s="1164"/>
      <c r="M113" s="1167"/>
      <c r="N113" s="1167"/>
    </row>
    <row r="114" spans="1:14" s="352" customFormat="1" ht="20.25" customHeight="1">
      <c r="A114" s="221"/>
      <c r="B114" s="837" t="s">
        <v>401</v>
      </c>
      <c r="C114" s="391">
        <f>IF(D67&lt;=0,0,(Zetak2+lambdaC*(D71/(2*D$64)))*(1/(2*PI()*D67*D$64))^2*DB^4)</f>
        <v>0</v>
      </c>
      <c r="D114" s="98"/>
      <c r="E114" s="97"/>
      <c r="F114" s="837" t="s">
        <v>407</v>
      </c>
      <c r="G114" s="391">
        <f>IF(H67&lt;=0,0,(Zetak2+lambdaC*(H71/(2*H$64)))*(1/(2*PI()*H67*H$64))^2*DB^4)</f>
        <v>0</v>
      </c>
      <c r="H114" s="676"/>
      <c r="I114" s="574"/>
      <c r="J114" s="1182"/>
      <c r="K114" s="1192"/>
      <c r="L114" s="1164"/>
      <c r="M114" s="1167"/>
      <c r="N114" s="1167"/>
    </row>
    <row r="115" spans="1:14" s="349" customFormat="1" ht="18" customHeight="1">
      <c r="A115" s="221"/>
      <c r="B115" s="837" t="s">
        <v>402</v>
      </c>
      <c r="C115" s="391">
        <f>IF(D68&lt;=0,0,(ZetakS+lambdaC*(D72/(2*D$64)))*(1/(2*PI()*D68*D$64))^2*DB^4)</f>
        <v>0</v>
      </c>
      <c r="D115" s="98"/>
      <c r="E115" s="97"/>
      <c r="F115" s="837" t="s">
        <v>408</v>
      </c>
      <c r="G115" s="391">
        <f>IF(H68&lt;=0,0,(ZetakS+lambdaC*(H72/(2*H$64)))*(1/(2*PI()*H68*H$64))^2*DB^4)</f>
        <v>0</v>
      </c>
      <c r="H115" s="676"/>
      <c r="I115" s="574"/>
      <c r="J115" s="1182"/>
      <c r="K115" s="1185"/>
      <c r="L115" s="1182"/>
      <c r="M115" s="1186"/>
      <c r="N115" s="1186"/>
    </row>
    <row r="116" spans="1:14" s="349" customFormat="1" ht="20.149999999999999" customHeight="1">
      <c r="A116" s="221"/>
      <c r="B116" s="838" t="s">
        <v>413</v>
      </c>
      <c r="C116" s="391">
        <f>SUM(C112:C115)</f>
        <v>0</v>
      </c>
      <c r="D116" s="236"/>
      <c r="E116" s="237"/>
      <c r="F116" s="840" t="s">
        <v>414</v>
      </c>
      <c r="G116" s="393">
        <f>SUM(G112:G115)</f>
        <v>0</v>
      </c>
      <c r="H116" s="717"/>
      <c r="I116" s="574"/>
      <c r="J116" s="1182"/>
      <c r="K116" s="1185"/>
      <c r="L116" s="1182"/>
      <c r="M116" s="1186"/>
      <c r="N116" s="1186"/>
    </row>
    <row r="117" spans="1:14" s="349" customFormat="1" ht="18" customHeight="1">
      <c r="A117" s="221"/>
      <c r="B117" s="839" t="s">
        <v>404</v>
      </c>
      <c r="C117" s="392">
        <f>C116+G116</f>
        <v>0</v>
      </c>
      <c r="D117" s="98"/>
      <c r="E117" s="97"/>
      <c r="F117" s="97"/>
      <c r="G117" s="97"/>
      <c r="H117" s="676"/>
      <c r="I117" s="574"/>
      <c r="J117" s="1193"/>
      <c r="K117" s="1185"/>
      <c r="L117" s="1182"/>
      <c r="M117" s="1186"/>
      <c r="N117" s="1186"/>
    </row>
    <row r="118" spans="1:14" s="349" customFormat="1" ht="7.5" customHeight="1">
      <c r="A118" s="221"/>
      <c r="B118" s="222"/>
      <c r="C118" s="240"/>
      <c r="D118" s="98"/>
      <c r="E118" s="97"/>
      <c r="F118" s="97"/>
      <c r="G118" s="97"/>
      <c r="H118" s="676"/>
      <c r="I118" s="574"/>
      <c r="J118" s="1197"/>
      <c r="K118" s="1185"/>
      <c r="L118" s="1182"/>
      <c r="M118" s="1186"/>
      <c r="N118" s="1186"/>
    </row>
    <row r="119" spans="1:14" s="349" customFormat="1" ht="14">
      <c r="A119" s="221" t="s">
        <v>143</v>
      </c>
      <c r="B119" s="96" t="s">
        <v>144</v>
      </c>
      <c r="C119" s="239"/>
      <c r="D119" s="98"/>
      <c r="E119" s="97"/>
      <c r="F119" s="97"/>
      <c r="G119" s="97"/>
      <c r="H119" s="676"/>
      <c r="I119" s="246"/>
      <c r="J119" s="1181" t="s">
        <v>162</v>
      </c>
      <c r="K119" s="1185"/>
      <c r="L119" s="1182"/>
      <c r="M119" s="1186"/>
      <c r="N119" s="1186"/>
    </row>
    <row r="120" spans="1:14" s="349" customFormat="1" ht="19.5">
      <c r="A120" s="221"/>
      <c r="B120" s="839" t="s">
        <v>415</v>
      </c>
      <c r="C120" s="238" t="e">
        <f>C108*C117/((SQRT(C108)+SQRT(C117))^2)</f>
        <v>#DIV/0!</v>
      </c>
      <c r="D120" s="230"/>
      <c r="E120" s="97"/>
      <c r="F120" s="97"/>
      <c r="G120" s="97"/>
      <c r="H120" s="676"/>
      <c r="I120" s="574"/>
      <c r="J120" s="1302" t="s">
        <v>277</v>
      </c>
      <c r="K120" s="1303"/>
      <c r="L120" s="1182"/>
      <c r="M120" s="1186"/>
      <c r="N120" s="1186"/>
    </row>
    <row r="121" spans="1:14" s="349" customFormat="1" ht="18" customHeight="1">
      <c r="A121" s="221"/>
      <c r="B121" s="97"/>
      <c r="C121" s="97"/>
      <c r="D121" s="98"/>
      <c r="E121" s="97"/>
      <c r="F121" s="97"/>
      <c r="G121" s="97"/>
      <c r="H121" s="676"/>
      <c r="I121" s="574"/>
      <c r="J121" s="1294"/>
      <c r="K121" s="1303"/>
      <c r="L121" s="1182"/>
      <c r="M121" s="1186"/>
      <c r="N121" s="1186"/>
    </row>
    <row r="122" spans="1:14" s="353" customFormat="1" ht="17">
      <c r="A122" s="220" t="s">
        <v>145</v>
      </c>
      <c r="B122" s="123" t="s">
        <v>146</v>
      </c>
      <c r="C122" s="123"/>
      <c r="D122" s="225"/>
      <c r="E122" s="45"/>
      <c r="F122" s="123"/>
      <c r="G122" s="123"/>
      <c r="H122" s="716"/>
      <c r="I122" s="574"/>
      <c r="J122" s="1294"/>
      <c r="K122" s="1303"/>
      <c r="L122" s="1193"/>
      <c r="M122" s="1195"/>
      <c r="N122" s="1195"/>
    </row>
    <row r="123" spans="1:14" s="354" customFormat="1" ht="5.25" customHeight="1">
      <c r="A123" s="221"/>
      <c r="B123" s="247"/>
      <c r="C123" s="97"/>
      <c r="D123" s="98"/>
      <c r="E123" s="97"/>
      <c r="F123" s="97"/>
      <c r="G123" s="97"/>
      <c r="H123" s="676"/>
      <c r="I123" s="574"/>
      <c r="J123" s="1294"/>
      <c r="K123" s="1303"/>
      <c r="L123" s="1197"/>
      <c r="M123" s="1198"/>
      <c r="N123" s="1198"/>
    </row>
    <row r="124" spans="1:14" s="348" customFormat="1" ht="19.5">
      <c r="A124" s="220"/>
      <c r="B124" s="847" t="s">
        <v>416</v>
      </c>
      <c r="C124" s="248" t="e">
        <f>100-100*C125</f>
        <v>#DIV/0!</v>
      </c>
      <c r="D124" s="249"/>
      <c r="E124" s="97"/>
      <c r="F124" s="97"/>
      <c r="G124" s="97"/>
      <c r="H124" s="676"/>
      <c r="I124" s="515"/>
      <c r="J124" s="1294"/>
      <c r="K124" s="1303"/>
      <c r="L124" s="1173"/>
      <c r="M124" s="1171"/>
      <c r="N124" s="1171"/>
    </row>
    <row r="125" spans="1:14" s="349" customFormat="1" ht="20.25" customHeight="1">
      <c r="A125" s="221"/>
      <c r="B125" s="847" t="s">
        <v>417</v>
      </c>
      <c r="C125" s="250" t="e">
        <f>IF(EtaAopt&lt;=EtahAMAX,0.01,((1-EtaAopt/100)/(1-EtahAMAX/100))*0.01)</f>
        <v>#DIV/0!</v>
      </c>
      <c r="D125" s="98"/>
      <c r="E125" s="97"/>
      <c r="F125" s="97"/>
      <c r="G125" s="97"/>
      <c r="H125" s="676"/>
      <c r="I125" s="574"/>
      <c r="J125" s="1199" t="s">
        <v>147</v>
      </c>
      <c r="K125" s="1185"/>
      <c r="L125" s="1182"/>
      <c r="M125" s="1186"/>
      <c r="N125" s="1186"/>
    </row>
    <row r="126" spans="1:14" s="348" customFormat="1" ht="18" customHeight="1">
      <c r="A126" s="221"/>
      <c r="B126" s="847" t="s">
        <v>418</v>
      </c>
      <c r="C126" s="250">
        <f>IF(Ic=1,0,IF(Homol_seal="Y",0,(C125*(1-SQRT(C98/C120)))))</f>
        <v>0</v>
      </c>
      <c r="D126" s="269" t="str">
        <f>IF(ISERROR(C126),"Fill the input data for the seals in the 'Input Form' sheet!"," ")</f>
        <v xml:space="preserve"> </v>
      </c>
      <c r="E126" s="97"/>
      <c r="F126" s="97"/>
      <c r="G126" s="97"/>
      <c r="H126" s="676"/>
      <c r="I126" s="574"/>
      <c r="J126" s="1193"/>
      <c r="K126" s="1172"/>
      <c r="L126" s="1173"/>
      <c r="M126" s="1171"/>
      <c r="N126" s="1171"/>
    </row>
    <row r="127" spans="1:14" s="348" customFormat="1" ht="18" customHeight="1">
      <c r="A127" s="221"/>
      <c r="B127" s="247"/>
      <c r="C127" s="97"/>
      <c r="D127" s="98"/>
      <c r="E127" s="97"/>
      <c r="F127" s="97"/>
      <c r="G127" s="97"/>
      <c r="H127" s="676"/>
      <c r="I127" s="574"/>
      <c r="J127" s="1173"/>
      <c r="K127" s="1172"/>
      <c r="L127" s="1173"/>
      <c r="M127" s="1171"/>
      <c r="N127" s="1171"/>
    </row>
    <row r="128" spans="1:14" s="348" customFormat="1" ht="17">
      <c r="A128" s="221" t="s">
        <v>115</v>
      </c>
      <c r="B128" s="96" t="s">
        <v>148</v>
      </c>
      <c r="C128" s="97"/>
      <c r="D128" s="98"/>
      <c r="E128" s="97"/>
      <c r="F128" s="97"/>
      <c r="G128" s="97"/>
      <c r="H128" s="676"/>
      <c r="I128" s="574"/>
      <c r="J128" s="1173"/>
      <c r="K128" s="1172"/>
      <c r="L128" s="1173"/>
      <c r="M128" s="1171"/>
      <c r="N128" s="1171"/>
    </row>
    <row r="129" spans="1:14" ht="5.25" customHeight="1">
      <c r="A129" s="251"/>
      <c r="B129" s="219"/>
      <c r="C129" s="219"/>
      <c r="D129" s="252"/>
      <c r="E129" s="219"/>
      <c r="F129" s="219"/>
      <c r="G129" s="219"/>
      <c r="H129" s="720"/>
      <c r="I129" s="254"/>
      <c r="J129" s="1173"/>
      <c r="K129" s="1172"/>
      <c r="L129" s="1173"/>
      <c r="M129" s="1171"/>
      <c r="N129" s="1171"/>
    </row>
    <row r="130" spans="1:14" s="353" customFormat="1" ht="19.5">
      <c r="A130" s="251"/>
      <c r="B130" s="848" t="s">
        <v>419</v>
      </c>
      <c r="C130" s="390" t="s">
        <v>39</v>
      </c>
      <c r="D130" s="849" t="e">
        <f>IF(Ic=3,"-",Q1Ai*(nB/nAi)*((DB/DA)^3)/(1+'Volumetric Eff.'!C126))</f>
        <v>#DIV/0!</v>
      </c>
      <c r="E130" s="219"/>
      <c r="F130" s="219"/>
      <c r="G130" s="219"/>
      <c r="H130" s="720"/>
      <c r="I130" s="254"/>
      <c r="J130" s="1141" t="s">
        <v>273</v>
      </c>
      <c r="K130" s="1200"/>
      <c r="L130" s="1201"/>
    </row>
    <row r="131" spans="1:14" s="348" customFormat="1" ht="19.5">
      <c r="A131" s="251"/>
      <c r="B131" s="208"/>
      <c r="D131" s="97"/>
      <c r="E131" s="219"/>
      <c r="F131" s="219"/>
      <c r="G131" s="219"/>
      <c r="H131" s="720"/>
      <c r="I131" s="254"/>
      <c r="J131" s="1202" t="s">
        <v>494</v>
      </c>
      <c r="K131" s="1196"/>
      <c r="L131" s="1174"/>
    </row>
    <row r="132" spans="1:14" s="348" customFormat="1" ht="19.5">
      <c r="A132" s="251"/>
      <c r="B132" s="839" t="s">
        <v>420</v>
      </c>
      <c r="C132" s="390" t="s">
        <v>39</v>
      </c>
      <c r="D132" s="849" t="e">
        <f>IF(IT=3,'Input Form'!I23*(nB/nAopt)*((DB/DA)^3)*(1+'Volumetric Eff.'!C126),Q1Aopt*(nB/nAopt)*((DB/DA)^3)/(1+'Volumetric Eff.'!C126))</f>
        <v>#DIV/0!</v>
      </c>
      <c r="E132" s="219"/>
      <c r="F132" s="219"/>
      <c r="G132" s="219"/>
      <c r="H132" s="720"/>
      <c r="I132" s="254"/>
      <c r="J132" s="1141" t="s">
        <v>274</v>
      </c>
      <c r="K132" s="1196"/>
      <c r="L132" s="1174"/>
    </row>
    <row r="133" spans="1:14" ht="19.5">
      <c r="H133" s="1204"/>
      <c r="I133" s="262"/>
      <c r="J133" s="1202" t="s">
        <v>495</v>
      </c>
      <c r="K133" s="1169"/>
      <c r="L133" s="1168"/>
      <c r="M133" s="260"/>
    </row>
    <row r="134" spans="1:14" s="348" customFormat="1" ht="20.149999999999999" customHeight="1">
      <c r="A134" s="259"/>
      <c r="B134" s="260"/>
      <c r="C134" s="260"/>
      <c r="D134" s="261"/>
      <c r="E134" s="260"/>
      <c r="F134" s="260"/>
      <c r="G134" s="260"/>
      <c r="H134" s="261"/>
      <c r="I134" s="260"/>
      <c r="J134" s="260"/>
      <c r="K134" s="1203"/>
      <c r="L134" s="1203"/>
    </row>
    <row r="135" spans="1:14" ht="20.149999999999999" customHeight="1">
      <c r="M135" s="260"/>
    </row>
  </sheetData>
  <sheetProtection formatCells="0" formatColumns="0" formatRows="0"/>
  <mergeCells count="5">
    <mergeCell ref="J50:K56"/>
    <mergeCell ref="J77:K82"/>
    <mergeCell ref="J120:K124"/>
    <mergeCell ref="J13:K19"/>
    <mergeCell ref="H4:I4"/>
  </mergeCells>
  <printOptions verticalCentered="1"/>
  <pageMargins left="0.23622047244094491" right="0.23622047244094491" top="0.59055118110236227" bottom="0.55118110236220474" header="0.51181102362204722" footer="0.31496062992125984"/>
  <pageSetup paperSize="9" scale="75" fitToHeight="3" orientation="portrait" horizontalDpi="1200" verticalDpi="1200" r:id="rId1"/>
  <rowBreaks count="2" manualBreakCount="2">
    <brk id="40" max="16383" man="1"/>
    <brk id="86" max="8" man="1"/>
  </rowBreaks>
  <drawing r:id="rId2"/>
  <legacyDrawing r:id="rId3"/>
  <oleObjects>
    <mc:AlternateContent xmlns:mc="http://schemas.openxmlformats.org/markup-compatibility/2006">
      <mc:Choice Requires="x14">
        <oleObject progId="Word.Picture.8" shapeId="8193" r:id="rId4">
          <objectPr defaultSize="0" autoPict="0" r:id="rId5">
            <anchor moveWithCells="1" sizeWithCells="1">
              <from>
                <xdr:col>11</xdr:col>
                <xdr:colOff>57150</xdr:colOff>
                <xdr:row>0</xdr:row>
                <xdr:rowOff>0</xdr:rowOff>
              </from>
              <to>
                <xdr:col>18</xdr:col>
                <xdr:colOff>666750</xdr:colOff>
                <xdr:row>50</xdr:row>
                <xdr:rowOff>95250</xdr:rowOff>
              </to>
            </anchor>
          </objectPr>
        </oleObject>
      </mc:Choice>
      <mc:Fallback>
        <oleObject progId="Word.Picture.8" shapeId="8193" r:id="rId4"/>
      </mc:Fallback>
    </mc:AlternateContent>
    <mc:AlternateContent xmlns:mc="http://schemas.openxmlformats.org/markup-compatibility/2006">
      <mc:Choice Requires="x14">
        <oleObject progId="Word.Picture.8" shapeId="8194" r:id="rId6">
          <objectPr defaultSize="0" autoPict="0" r:id="rId7">
            <anchor moveWithCells="1" sizeWithCells="1">
              <from>
                <xdr:col>11</xdr:col>
                <xdr:colOff>57150</xdr:colOff>
                <xdr:row>51</xdr:row>
                <xdr:rowOff>107950</xdr:rowOff>
              </from>
              <to>
                <xdr:col>19</xdr:col>
                <xdr:colOff>38100</xdr:colOff>
                <xdr:row>84</xdr:row>
                <xdr:rowOff>19050</xdr:rowOff>
              </to>
            </anchor>
          </objectPr>
        </oleObject>
      </mc:Choice>
      <mc:Fallback>
        <oleObject progId="Word.Picture.8" shapeId="8194"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2"/>
  <sheetViews>
    <sheetView showGridLines="0" tabSelected="1" topLeftCell="B1" zoomScaleNormal="100" zoomScaleSheetLayoutView="100" workbookViewId="0">
      <selection activeCell="B26" sqref="B26"/>
    </sheetView>
  </sheetViews>
  <sheetFormatPr defaultColWidth="10.26953125" defaultRowHeight="20.149999999999999" customHeight="1"/>
  <cols>
    <col min="1" max="1" width="5.7265625" style="320" customWidth="1"/>
    <col min="2" max="2" width="24.26953125" style="321" customWidth="1"/>
    <col min="3" max="3" width="7.26953125" style="321" customWidth="1"/>
    <col min="4" max="4" width="14.7265625" style="808" customWidth="1"/>
    <col min="5" max="5" width="19.7265625" style="322" customWidth="1"/>
    <col min="6" max="6" width="16.7265625" style="321" customWidth="1"/>
    <col min="7" max="7" width="13.7265625" style="321" customWidth="1"/>
    <col min="8" max="8" width="14.7265625" style="321" customWidth="1"/>
    <col min="9" max="9" width="15.7265625" style="323" customWidth="1"/>
    <col min="10" max="10" width="6.26953125" style="323" customWidth="1"/>
    <col min="11" max="11" width="30.7265625" style="323" customWidth="1"/>
    <col min="12" max="12" width="11.54296875" style="329" customWidth="1"/>
    <col min="13" max="13" width="10.26953125" style="329"/>
    <col min="14" max="14" width="10.7265625" style="329" customWidth="1"/>
    <col min="15" max="16" width="11.26953125" style="329" bestFit="1" customWidth="1"/>
    <col min="17" max="19" width="10.26953125" style="329"/>
    <col min="20" max="16384" width="10.26953125" style="119"/>
  </cols>
  <sheetData>
    <row r="1" spans="1:19" ht="31.5" customHeight="1">
      <c r="A1" s="765" t="s">
        <v>324</v>
      </c>
      <c r="B1" s="396"/>
      <c r="C1" s="764"/>
      <c r="D1" s="396"/>
      <c r="E1" s="721"/>
      <c r="F1" s="721"/>
      <c r="G1" s="721"/>
      <c r="H1" s="721"/>
      <c r="I1" s="520"/>
      <c r="J1" s="520"/>
      <c r="K1" s="722"/>
      <c r="L1" s="897"/>
      <c r="M1" s="756"/>
      <c r="N1" s="756"/>
      <c r="O1" s="756"/>
      <c r="P1" s="756"/>
      <c r="Q1" s="756"/>
    </row>
    <row r="2" spans="1:19" ht="5.15" customHeight="1">
      <c r="A2" s="397"/>
      <c r="B2" s="398"/>
      <c r="C2" s="398"/>
      <c r="D2" s="791"/>
      <c r="E2" s="723"/>
      <c r="F2" s="724"/>
      <c r="G2" s="724"/>
      <c r="H2" s="724"/>
      <c r="I2" s="724"/>
      <c r="J2" s="724"/>
      <c r="K2" s="724"/>
      <c r="L2" s="897"/>
      <c r="M2" s="756"/>
      <c r="N2" s="756"/>
      <c r="O2" s="756"/>
      <c r="P2" s="756"/>
      <c r="Q2" s="756"/>
    </row>
    <row r="3" spans="1:19" ht="20.149999999999999" customHeight="1">
      <c r="A3" s="47"/>
      <c r="B3" s="52"/>
      <c r="C3" s="216"/>
      <c r="D3" s="255" t="s">
        <v>90</v>
      </c>
      <c r="E3" s="521"/>
      <c r="F3" s="521"/>
      <c r="G3" s="129"/>
      <c r="H3" s="520" t="s">
        <v>80</v>
      </c>
      <c r="I3" s="520"/>
      <c r="J3" s="520"/>
      <c r="K3" s="520"/>
      <c r="L3" s="898"/>
      <c r="M3" s="756"/>
      <c r="N3" s="756"/>
      <c r="O3" s="756"/>
      <c r="P3" s="756"/>
      <c r="Q3" s="756"/>
    </row>
    <row r="4" spans="1:19" s="306" customFormat="1" ht="5.15" customHeight="1">
      <c r="A4" s="187"/>
      <c r="B4" s="140"/>
      <c r="C4" s="142"/>
      <c r="D4" s="148"/>
      <c r="E4" s="698"/>
      <c r="F4" s="698"/>
      <c r="G4" s="698"/>
      <c r="H4" s="715"/>
      <c r="I4" s="698"/>
      <c r="J4" s="698"/>
      <c r="K4" s="698"/>
      <c r="L4" s="899"/>
      <c r="M4" s="900"/>
      <c r="N4" s="900"/>
      <c r="O4" s="900"/>
      <c r="P4" s="900"/>
      <c r="Q4" s="900"/>
      <c r="R4" s="307"/>
      <c r="S4" s="307"/>
    </row>
    <row r="5" spans="1:19" s="306" customFormat="1" ht="18">
      <c r="A5" s="187"/>
      <c r="B5" s="134" t="s">
        <v>91</v>
      </c>
      <c r="C5" s="894" t="str">
        <f>'Volumetric Eff.'!C4</f>
        <v xml:space="preserve"> </v>
      </c>
      <c r="D5" s="737"/>
      <c r="E5" s="188"/>
      <c r="F5" s="188"/>
      <c r="G5" s="189"/>
      <c r="H5" s="735" t="s">
        <v>92</v>
      </c>
      <c r="I5" s="1298">
        <f>RefNumb</f>
        <v>0</v>
      </c>
      <c r="J5" s="1299"/>
      <c r="K5" s="698"/>
      <c r="L5" s="899"/>
      <c r="M5" s="900"/>
      <c r="N5" s="900"/>
      <c r="O5" s="900"/>
      <c r="P5" s="900"/>
      <c r="Q5" s="900"/>
      <c r="R5" s="307"/>
      <c r="S5" s="307"/>
    </row>
    <row r="6" spans="1:19" s="306" customFormat="1" ht="5.15" customHeight="1">
      <c r="A6" s="187"/>
      <c r="B6" s="134"/>
      <c r="C6" s="190"/>
      <c r="D6" s="792"/>
      <c r="E6" s="562"/>
      <c r="F6" s="562"/>
      <c r="G6" s="698"/>
      <c r="H6" s="706"/>
      <c r="I6" s="725"/>
      <c r="J6" s="725"/>
      <c r="K6" s="698"/>
      <c r="L6" s="899"/>
      <c r="M6" s="900"/>
      <c r="N6" s="900"/>
      <c r="O6" s="900"/>
      <c r="P6" s="900"/>
      <c r="Q6" s="900"/>
      <c r="R6" s="307"/>
      <c r="S6" s="307"/>
    </row>
    <row r="7" spans="1:19" s="306" customFormat="1" ht="18">
      <c r="A7" s="187"/>
      <c r="B7" s="134" t="s">
        <v>93</v>
      </c>
      <c r="C7" s="1297">
        <f ca="1">'Volumetric Eff.'!C6</f>
        <v>43321</v>
      </c>
      <c r="D7" s="1280"/>
      <c r="E7" s="562"/>
      <c r="F7" s="562"/>
      <c r="G7" s="698"/>
      <c r="H7" s="190"/>
      <c r="I7" s="190"/>
      <c r="J7" s="190"/>
      <c r="K7" s="698"/>
      <c r="L7" s="899"/>
      <c r="M7" s="900"/>
      <c r="N7" s="900"/>
      <c r="O7" s="900"/>
      <c r="P7" s="900"/>
      <c r="Q7" s="900"/>
      <c r="R7" s="307"/>
      <c r="S7" s="307"/>
    </row>
    <row r="8" spans="1:19" s="306" customFormat="1" ht="6.75" customHeight="1">
      <c r="A8" s="399"/>
      <c r="B8" s="142"/>
      <c r="C8" s="142"/>
      <c r="D8" s="148"/>
      <c r="E8" s="698"/>
      <c r="F8" s="698"/>
      <c r="G8" s="698"/>
      <c r="H8" s="715"/>
      <c r="I8" s="698"/>
      <c r="J8" s="698"/>
      <c r="K8" s="698"/>
      <c r="L8" s="899"/>
      <c r="M8" s="900"/>
      <c r="N8" s="900"/>
      <c r="O8" s="900"/>
      <c r="P8" s="900"/>
      <c r="Q8" s="900"/>
      <c r="R8" s="307"/>
      <c r="S8" s="307"/>
    </row>
    <row r="9" spans="1:19" s="301" customFormat="1" ht="17.5">
      <c r="A9" s="400"/>
      <c r="B9" s="748" t="s">
        <v>191</v>
      </c>
      <c r="C9" s="812" t="str">
        <f>IF(IT=1,"Francis turbine",IF(IT=2,"Pump-turbine (Turbine mode)",IF(IT=3,"Pump-turbine (Pump mode)", IF(IT=4,"Axial flow machines","???"))))</f>
        <v>Pump-turbine (Turbine mode)</v>
      </c>
      <c r="D9" s="811"/>
      <c r="E9" s="813"/>
      <c r="F9" s="163"/>
      <c r="G9" s="809" t="s">
        <v>316</v>
      </c>
      <c r="H9" s="563"/>
      <c r="I9" s="570"/>
      <c r="J9" s="560"/>
      <c r="K9" s="810"/>
      <c r="N9" s="312"/>
      <c r="O9" s="312"/>
      <c r="P9" s="312"/>
      <c r="Q9" s="312"/>
      <c r="R9" s="305"/>
      <c r="S9" s="305"/>
    </row>
    <row r="10" spans="1:19" s="301" customFormat="1" ht="5.15" customHeight="1">
      <c r="A10" s="400"/>
      <c r="B10" s="151"/>
      <c r="C10" s="154"/>
      <c r="D10" s="754"/>
      <c r="E10" s="728"/>
      <c r="F10" s="729"/>
      <c r="G10" s="726"/>
      <c r="H10" s="730"/>
      <c r="I10" s="726"/>
      <c r="J10" s="726"/>
      <c r="K10" s="727"/>
      <c r="L10" s="901"/>
      <c r="M10" s="312"/>
      <c r="N10" s="312"/>
      <c r="O10" s="312"/>
      <c r="P10" s="312"/>
      <c r="Q10" s="312"/>
      <c r="R10" s="305"/>
      <c r="S10" s="305"/>
    </row>
    <row r="11" spans="1:19" ht="20.149999999999999" customHeight="1">
      <c r="A11" s="47"/>
      <c r="B11" s="130" t="s">
        <v>29</v>
      </c>
      <c r="C11" s="132"/>
      <c r="D11" s="793"/>
      <c r="E11" s="404"/>
      <c r="F11" s="131"/>
      <c r="G11" s="520"/>
      <c r="H11" s="520"/>
      <c r="I11" s="520"/>
      <c r="J11" s="520"/>
      <c r="K11" s="520"/>
      <c r="L11" s="902"/>
      <c r="M11" s="756"/>
      <c r="N11" s="756"/>
      <c r="O11" s="756"/>
      <c r="P11" s="756"/>
      <c r="Q11" s="756"/>
    </row>
    <row r="12" spans="1:19" ht="20.149999999999999" customHeight="1">
      <c r="A12" s="54"/>
      <c r="B12" s="131"/>
      <c r="C12" s="758" t="s">
        <v>30</v>
      </c>
      <c r="D12" s="759">
        <f>Ic</f>
        <v>1</v>
      </c>
      <c r="E12" s="404"/>
      <c r="F12" s="521"/>
      <c r="G12" s="521"/>
      <c r="H12" s="521"/>
      <c r="I12" s="520"/>
      <c r="J12" s="520"/>
      <c r="K12" s="520"/>
      <c r="L12" s="898"/>
      <c r="M12" s="756"/>
      <c r="N12" s="756"/>
      <c r="O12" s="756"/>
      <c r="P12" s="756"/>
      <c r="Q12" s="756"/>
    </row>
    <row r="13" spans="1:19" ht="8.25" customHeight="1">
      <c r="A13" s="401"/>
      <c r="B13" s="131"/>
      <c r="C13" s="402"/>
      <c r="D13" s="794"/>
      <c r="E13" s="404"/>
      <c r="F13" s="405"/>
      <c r="G13" s="406"/>
      <c r="H13" s="406"/>
      <c r="I13" s="520"/>
      <c r="J13" s="520"/>
      <c r="K13" s="520"/>
      <c r="L13" s="898"/>
      <c r="M13" s="756"/>
      <c r="N13" s="756"/>
      <c r="O13" s="756"/>
      <c r="P13" s="756"/>
      <c r="Q13" s="756"/>
    </row>
    <row r="14" spans="1:19" s="326" customFormat="1" ht="17">
      <c r="A14" s="64"/>
      <c r="C14" s="407" t="s">
        <v>231</v>
      </c>
      <c r="D14" s="795" t="e">
        <f>NQE</f>
        <v>#DIV/0!</v>
      </c>
      <c r="E14" s="256"/>
      <c r="F14" s="256"/>
      <c r="G14" s="256"/>
      <c r="H14" s="256"/>
      <c r="I14" s="256"/>
      <c r="J14" s="256"/>
      <c r="K14" s="256"/>
      <c r="L14" s="903"/>
      <c r="M14" s="904"/>
      <c r="N14" s="904"/>
      <c r="O14" s="904"/>
      <c r="P14" s="904"/>
      <c r="Q14" s="904"/>
      <c r="R14" s="905"/>
      <c r="S14" s="905"/>
    </row>
    <row r="15" spans="1:19" ht="22.5" customHeight="1">
      <c r="A15" s="54" t="s">
        <v>94</v>
      </c>
      <c r="B15" s="63" t="s">
        <v>95</v>
      </c>
      <c r="C15" s="48"/>
      <c r="D15" s="257"/>
      <c r="E15" s="520"/>
      <c r="F15" s="520"/>
      <c r="G15" s="520"/>
      <c r="H15" s="520"/>
      <c r="I15" s="520"/>
      <c r="J15" s="520"/>
      <c r="K15" s="520"/>
      <c r="L15" s="906"/>
      <c r="M15" s="756"/>
      <c r="N15" s="756"/>
      <c r="O15" s="756"/>
      <c r="P15" s="756"/>
      <c r="Q15" s="756"/>
    </row>
    <row r="16" spans="1:19" ht="14">
      <c r="A16" s="54" t="s">
        <v>21</v>
      </c>
      <c r="B16" s="63"/>
      <c r="C16" s="63" t="s">
        <v>503</v>
      </c>
      <c r="D16" s="255"/>
      <c r="E16" s="523"/>
      <c r="F16" s="520"/>
      <c r="G16" s="520"/>
      <c r="H16" s="520"/>
      <c r="I16" s="520"/>
      <c r="J16" s="520"/>
      <c r="K16" s="520"/>
      <c r="L16" s="898"/>
      <c r="M16" s="756"/>
      <c r="N16" s="756"/>
      <c r="O16" s="756"/>
      <c r="P16" s="756"/>
      <c r="Q16" s="756"/>
    </row>
    <row r="17" spans="1:17" ht="14">
      <c r="A17" s="54" t="s">
        <v>97</v>
      </c>
      <c r="B17" s="522" t="s">
        <v>232</v>
      </c>
      <c r="C17" s="520"/>
      <c r="D17" s="257"/>
      <c r="E17" s="523"/>
      <c r="F17" s="520"/>
      <c r="G17" s="520"/>
      <c r="H17" s="520"/>
      <c r="I17" s="520"/>
      <c r="J17" s="520"/>
      <c r="K17" s="520"/>
      <c r="L17" s="898"/>
      <c r="M17" s="756"/>
      <c r="N17" s="756"/>
      <c r="O17" s="756"/>
      <c r="P17" s="756"/>
      <c r="Q17" s="756"/>
    </row>
    <row r="18" spans="1:17" ht="19.5" customHeight="1">
      <c r="A18" s="47"/>
      <c r="B18" s="74" t="s">
        <v>284</v>
      </c>
      <c r="C18" s="368" t="s">
        <v>37</v>
      </c>
      <c r="D18" s="796">
        <f>IF(Ic=1,DB,DA)</f>
        <v>0</v>
      </c>
      <c r="E18" s="523"/>
      <c r="F18" s="520"/>
      <c r="G18" s="520"/>
      <c r="H18" s="520"/>
      <c r="I18" s="520"/>
      <c r="J18" s="520"/>
      <c r="K18" s="520"/>
      <c r="L18" s="898"/>
      <c r="M18" s="756"/>
      <c r="N18" s="756"/>
      <c r="O18" s="756"/>
      <c r="P18" s="756"/>
      <c r="Q18" s="756"/>
    </row>
    <row r="19" spans="1:17" ht="5.15" customHeight="1">
      <c r="A19" s="47"/>
      <c r="B19" s="410"/>
      <c r="C19" s="48"/>
      <c r="D19" s="255"/>
      <c r="E19" s="523"/>
      <c r="F19" s="520"/>
      <c r="G19" s="520"/>
      <c r="H19" s="520"/>
      <c r="I19" s="520"/>
      <c r="J19" s="520"/>
      <c r="K19" s="520"/>
      <c r="L19" s="898"/>
      <c r="M19" s="756"/>
      <c r="N19" s="756"/>
      <c r="O19" s="756"/>
      <c r="P19" s="756"/>
      <c r="Q19" s="756"/>
    </row>
    <row r="20" spans="1:17" ht="20.149999999999999" customHeight="1">
      <c r="A20" s="54" t="s">
        <v>98</v>
      </c>
      <c r="B20" s="63" t="s">
        <v>99</v>
      </c>
      <c r="C20" s="48"/>
      <c r="D20" s="255"/>
      <c r="E20" s="401"/>
      <c r="F20" s="522"/>
      <c r="G20" s="520"/>
      <c r="H20" s="520"/>
      <c r="I20" s="520"/>
      <c r="J20" s="520"/>
      <c r="K20" s="520"/>
      <c r="L20" s="898"/>
      <c r="M20" s="756"/>
      <c r="N20" s="756"/>
      <c r="O20" s="756"/>
      <c r="P20" s="756"/>
      <c r="Q20" s="756"/>
    </row>
    <row r="21" spans="1:17" ht="20.149999999999999" customHeight="1">
      <c r="A21" s="47"/>
      <c r="B21" s="74" t="str">
        <f>IF(Ic=1,"  n ref opt ","   nrefopt ")</f>
        <v xml:space="preserve">  n ref opt </v>
      </c>
      <c r="C21" s="610" t="s">
        <v>101</v>
      </c>
      <c r="D21" s="796" t="e">
        <f>IF(Ic=2,nAopt,nB)</f>
        <v>#DIV/0!</v>
      </c>
      <c r="E21" s="731"/>
      <c r="F21" s="520"/>
      <c r="G21" s="750"/>
      <c r="H21" s="424"/>
      <c r="I21" s="520"/>
      <c r="J21" s="520"/>
      <c r="K21" s="520"/>
      <c r="L21" s="898"/>
      <c r="M21" s="907"/>
      <c r="N21" s="756"/>
      <c r="O21" s="756"/>
      <c r="P21" s="756"/>
      <c r="Q21" s="756"/>
    </row>
    <row r="22" spans="1:17" ht="20.149999999999999" customHeight="1">
      <c r="A22" s="47"/>
      <c r="B22" s="74" t="str">
        <f>IF(Ic=1,"  tw ref opt ","   tw ref opt ")</f>
        <v xml:space="preserve">  tw ref opt </v>
      </c>
      <c r="C22" s="368" t="s">
        <v>42</v>
      </c>
      <c r="D22" s="796">
        <f>IF(Ic=2,twAopt,twB)</f>
        <v>20</v>
      </c>
      <c r="E22" s="731"/>
      <c r="F22" s="520"/>
      <c r="G22" s="298"/>
      <c r="H22" s="424"/>
      <c r="I22" s="520"/>
      <c r="J22" s="520"/>
      <c r="K22" s="520"/>
      <c r="L22" s="898"/>
      <c r="M22" s="756"/>
      <c r="N22" s="756"/>
      <c r="O22" s="756"/>
      <c r="P22" s="756"/>
      <c r="Q22" s="756"/>
    </row>
    <row r="23" spans="1:17" ht="20.149999999999999" customHeight="1">
      <c r="A23" s="47"/>
      <c r="B23" s="74" t="str">
        <f>IF(Ic=1,"  Re ref","   Re ")</f>
        <v xml:space="preserve">  Re ref</v>
      </c>
      <c r="C23" s="610" t="s">
        <v>82</v>
      </c>
      <c r="D23" s="137">
        <v>7000000</v>
      </c>
      <c r="E23" s="731"/>
      <c r="F23" s="751"/>
      <c r="G23" s="750"/>
      <c r="H23" s="752"/>
      <c r="I23" s="520" t="s">
        <v>103</v>
      </c>
      <c r="J23" s="520"/>
      <c r="K23" s="520"/>
      <c r="L23" s="898"/>
      <c r="M23" s="756"/>
      <c r="N23" s="756"/>
      <c r="O23" s="756"/>
      <c r="P23" s="756"/>
      <c r="Q23" s="756"/>
    </row>
    <row r="24" spans="1:17" ht="5.15" customHeight="1">
      <c r="A24" s="47"/>
      <c r="B24" s="520"/>
      <c r="C24" s="520"/>
      <c r="D24" s="797"/>
      <c r="E24" s="731"/>
      <c r="F24" s="414"/>
      <c r="G24" s="523"/>
      <c r="H24" s="415"/>
      <c r="I24" s="520"/>
      <c r="J24" s="520"/>
      <c r="K24" s="520"/>
      <c r="L24" s="898"/>
      <c r="M24" s="756"/>
      <c r="N24" s="756"/>
      <c r="O24" s="756"/>
      <c r="P24" s="756"/>
      <c r="Q24" s="756"/>
    </row>
    <row r="25" spans="1:17" ht="15.75" customHeight="1">
      <c r="A25" s="54" t="s">
        <v>104</v>
      </c>
      <c r="B25" s="416" t="s">
        <v>289</v>
      </c>
      <c r="C25" s="417"/>
      <c r="D25" s="798"/>
      <c r="E25" s="401"/>
      <c r="F25" s="520"/>
      <c r="G25" s="520"/>
      <c r="H25" s="520"/>
      <c r="I25" s="520"/>
      <c r="J25" s="520"/>
      <c r="K25" s="520"/>
      <c r="L25" s="898"/>
      <c r="M25" s="756"/>
      <c r="N25" s="756"/>
      <c r="O25" s="756"/>
      <c r="P25" s="756"/>
      <c r="Q25" s="756"/>
    </row>
    <row r="26" spans="1:17" ht="20.149999999999999" customHeight="1">
      <c r="A26" s="47"/>
      <c r="B26" s="889" t="s">
        <v>517</v>
      </c>
      <c r="C26" s="370" t="s">
        <v>46</v>
      </c>
      <c r="D26" s="895">
        <v>0.8</v>
      </c>
      <c r="E26" s="523"/>
      <c r="F26" s="528"/>
      <c r="G26" s="520"/>
      <c r="H26" s="520"/>
      <c r="I26" s="520"/>
      <c r="J26" s="520"/>
      <c r="K26" s="520"/>
      <c r="L26" s="898"/>
      <c r="M26" s="756"/>
      <c r="N26" s="756"/>
      <c r="O26" s="756"/>
      <c r="P26" s="756"/>
      <c r="Q26" s="756"/>
    </row>
    <row r="27" spans="1:17" ht="20.149999999999999" customHeight="1">
      <c r="A27" s="47"/>
      <c r="B27" s="889" t="s">
        <v>518</v>
      </c>
      <c r="C27" s="370" t="s">
        <v>46</v>
      </c>
      <c r="D27" s="895">
        <v>0.8</v>
      </c>
      <c r="E27" s="523"/>
      <c r="F27" s="528"/>
      <c r="G27" s="520"/>
      <c r="H27" s="520"/>
      <c r="I27" s="520"/>
      <c r="J27" s="520"/>
      <c r="K27" s="520"/>
      <c r="L27" s="898"/>
      <c r="M27" s="756"/>
      <c r="N27" s="756"/>
      <c r="O27" s="756"/>
      <c r="P27" s="756"/>
      <c r="Q27" s="756"/>
    </row>
    <row r="28" spans="1:17" ht="20.149999999999999" customHeight="1">
      <c r="A28" s="47"/>
      <c r="B28" s="889" t="s">
        <v>519</v>
      </c>
      <c r="C28" s="370" t="s">
        <v>46</v>
      </c>
      <c r="D28" s="895">
        <v>0.4</v>
      </c>
      <c r="E28" s="523"/>
      <c r="F28" s="528"/>
      <c r="G28" s="520"/>
      <c r="H28" s="520"/>
      <c r="I28" s="520"/>
      <c r="J28" s="520"/>
      <c r="K28" s="520"/>
      <c r="L28" s="898"/>
      <c r="M28" s="756"/>
      <c r="N28" s="756"/>
      <c r="O28" s="756"/>
      <c r="P28" s="756"/>
      <c r="Q28" s="756"/>
    </row>
    <row r="29" spans="1:17" ht="20.149999999999999" customHeight="1">
      <c r="A29" s="47"/>
      <c r="B29" s="889" t="s">
        <v>520</v>
      </c>
      <c r="C29" s="370" t="s">
        <v>46</v>
      </c>
      <c r="D29" s="895">
        <v>0.4</v>
      </c>
      <c r="E29" s="523"/>
      <c r="F29" s="528"/>
      <c r="G29" s="520"/>
      <c r="H29" s="520"/>
      <c r="I29" s="520"/>
      <c r="J29" s="520"/>
      <c r="K29" s="520"/>
      <c r="L29" s="898"/>
      <c r="M29" s="756"/>
      <c r="N29" s="756"/>
      <c r="O29" s="756"/>
      <c r="P29" s="756"/>
      <c r="Q29" s="756"/>
    </row>
    <row r="30" spans="1:17" ht="20.149999999999999" customHeight="1">
      <c r="A30" s="47"/>
      <c r="B30" s="889" t="s">
        <v>521</v>
      </c>
      <c r="C30" s="370" t="s">
        <v>46</v>
      </c>
      <c r="D30" s="895">
        <v>0.8</v>
      </c>
      <c r="E30" s="523"/>
      <c r="F30" s="528"/>
      <c r="G30" s="520"/>
      <c r="H30" s="520"/>
      <c r="I30" s="520"/>
      <c r="J30" s="520"/>
      <c r="K30" s="520"/>
      <c r="L30" s="898"/>
      <c r="M30" s="756"/>
      <c r="N30" s="756"/>
      <c r="O30" s="756"/>
      <c r="P30" s="756"/>
      <c r="Q30" s="756"/>
    </row>
    <row r="31" spans="1:17" ht="5.15" customHeight="1">
      <c r="A31" s="47"/>
      <c r="B31" s="520"/>
      <c r="C31" s="520"/>
      <c r="D31" s="257"/>
      <c r="E31" s="523"/>
      <c r="F31" s="520"/>
      <c r="G31" s="520"/>
      <c r="H31" s="520"/>
      <c r="I31" s="520"/>
      <c r="J31" s="520"/>
      <c r="K31" s="520"/>
      <c r="L31" s="898"/>
      <c r="M31" s="756"/>
      <c r="N31" s="756"/>
      <c r="O31" s="756"/>
      <c r="P31" s="756"/>
      <c r="Q31" s="756"/>
    </row>
    <row r="32" spans="1:17" ht="20.149999999999999" customHeight="1">
      <c r="A32" s="54" t="s">
        <v>36</v>
      </c>
      <c r="B32" s="63"/>
      <c r="C32" s="116" t="str">
        <f>IF(Ic=2,"SPECIFIED REFERENCE MODEL"," MODEL")</f>
        <v xml:space="preserve"> MODEL</v>
      </c>
      <c r="D32" s="255"/>
      <c r="E32" s="523"/>
      <c r="F32" s="520"/>
      <c r="G32" s="520"/>
      <c r="H32" s="520"/>
      <c r="I32" s="520"/>
      <c r="J32" s="520"/>
      <c r="K32" s="520"/>
      <c r="L32" s="898"/>
      <c r="M32" s="756"/>
      <c r="N32" s="756"/>
      <c r="O32" s="756"/>
      <c r="P32" s="756"/>
      <c r="Q32" s="756"/>
    </row>
    <row r="33" spans="1:19" ht="17.25" customHeight="1">
      <c r="A33" s="54" t="s">
        <v>105</v>
      </c>
      <c r="B33" s="419" t="s">
        <v>166</v>
      </c>
      <c r="C33" s="48"/>
      <c r="D33" s="799"/>
      <c r="E33" s="523"/>
      <c r="F33" s="520"/>
      <c r="G33" s="520"/>
      <c r="H33" s="520"/>
      <c r="I33" s="520"/>
      <c r="J33" s="520"/>
      <c r="K33" s="520"/>
      <c r="L33" s="898"/>
      <c r="M33" s="756"/>
      <c r="N33" s="756"/>
      <c r="O33" s="756"/>
      <c r="P33" s="756"/>
      <c r="Q33" s="756"/>
    </row>
    <row r="34" spans="1:19" ht="20.149999999999999" customHeight="1">
      <c r="A34" s="47"/>
      <c r="B34" s="760" t="str">
        <f>IF(Ic=2,"  nM*","  nM")</f>
        <v xml:space="preserve">  nM</v>
      </c>
      <c r="C34" s="761" t="s">
        <v>101</v>
      </c>
      <c r="D34" s="796">
        <f>nAopt</f>
        <v>0</v>
      </c>
      <c r="E34" s="422"/>
      <c r="F34" s="520"/>
      <c r="G34" s="523"/>
      <c r="H34" s="528"/>
      <c r="I34" s="520"/>
      <c r="J34" s="520"/>
      <c r="K34" s="520"/>
      <c r="L34" s="898"/>
      <c r="M34" s="756"/>
      <c r="N34" s="756"/>
      <c r="O34" s="756"/>
      <c r="P34" s="756"/>
      <c r="Q34" s="756"/>
    </row>
    <row r="35" spans="1:19" s="327" customFormat="1" ht="5.15" customHeight="1">
      <c r="A35" s="423"/>
      <c r="B35" s="525"/>
      <c r="C35" s="424"/>
      <c r="D35" s="425"/>
      <c r="E35" s="425"/>
      <c r="F35" s="525"/>
      <c r="G35" s="424"/>
      <c r="H35" s="525"/>
      <c r="I35" s="525"/>
      <c r="J35" s="525"/>
      <c r="K35" s="525"/>
      <c r="L35" s="908"/>
      <c r="M35" s="909"/>
      <c r="N35" s="909"/>
      <c r="O35" s="909"/>
      <c r="P35" s="909"/>
      <c r="Q35" s="909"/>
      <c r="R35" s="910"/>
      <c r="S35" s="910"/>
    </row>
    <row r="36" spans="1:19" ht="15.75" customHeight="1">
      <c r="A36" s="54" t="s">
        <v>106</v>
      </c>
      <c r="B36" s="522" t="s">
        <v>229</v>
      </c>
      <c r="C36" s="520"/>
      <c r="D36" s="257"/>
      <c r="E36" s="523"/>
      <c r="F36" s="521"/>
      <c r="G36" s="521"/>
      <c r="H36" s="521"/>
      <c r="I36" s="520"/>
      <c r="J36" s="520"/>
      <c r="K36" s="520"/>
      <c r="L36" s="898"/>
      <c r="M36" s="756"/>
      <c r="N36" s="756"/>
      <c r="O36" s="756"/>
      <c r="P36" s="756"/>
      <c r="Q36" s="756"/>
    </row>
    <row r="37" spans="1:19" ht="20.149999999999999" customHeight="1">
      <c r="A37" s="47"/>
      <c r="B37" s="760" t="str">
        <f>IF(Ic=2,"  DM*","  DM")</f>
        <v xml:space="preserve">  DM</v>
      </c>
      <c r="C37" s="610" t="s">
        <v>37</v>
      </c>
      <c r="D37" s="796">
        <f>DA</f>
        <v>0</v>
      </c>
      <c r="E37" s="523" t="s">
        <v>107</v>
      </c>
      <c r="F37" s="521"/>
      <c r="G37" s="521"/>
      <c r="H37" s="521"/>
      <c r="I37" s="520"/>
      <c r="J37" s="520"/>
      <c r="K37" s="520"/>
      <c r="L37" s="898"/>
      <c r="M37" s="756"/>
      <c r="N37" s="756"/>
      <c r="O37" s="756"/>
      <c r="P37" s="756"/>
      <c r="Q37" s="756"/>
    </row>
    <row r="38" spans="1:19" ht="6" customHeight="1">
      <c r="A38" s="47"/>
      <c r="B38" s="427"/>
      <c r="C38" s="427"/>
      <c r="D38" s="800"/>
      <c r="E38" s="523"/>
      <c r="F38" s="429"/>
      <c r="G38" s="429"/>
      <c r="H38" s="429"/>
      <c r="I38" s="520"/>
      <c r="J38" s="520"/>
      <c r="K38" s="520"/>
      <c r="L38" s="898"/>
      <c r="M38" s="756"/>
      <c r="N38" s="756"/>
      <c r="O38" s="756"/>
      <c r="P38" s="756"/>
      <c r="Q38" s="756"/>
    </row>
    <row r="39" spans="1:19" ht="20.149999999999999" customHeight="1">
      <c r="A39" s="54" t="s">
        <v>108</v>
      </c>
      <c r="B39" s="522" t="s">
        <v>220</v>
      </c>
      <c r="C39" s="520"/>
      <c r="D39" s="257"/>
      <c r="E39" s="523"/>
      <c r="F39" s="430"/>
      <c r="G39" s="431"/>
      <c r="H39" s="432"/>
      <c r="I39" s="520"/>
      <c r="J39" s="520"/>
      <c r="K39" s="520"/>
      <c r="L39" s="898"/>
      <c r="M39" s="756"/>
      <c r="N39" s="756"/>
      <c r="O39" s="756"/>
      <c r="P39" s="756"/>
      <c r="Q39" s="756"/>
    </row>
    <row r="40" spans="1:19" ht="20.149999999999999" customHeight="1">
      <c r="A40" s="47"/>
      <c r="B40" s="441" t="str">
        <f>IF(Ic=2,"  tw M*","  tw M")</f>
        <v xml:space="preserve">  tw M</v>
      </c>
      <c r="C40" s="611" t="s">
        <v>42</v>
      </c>
      <c r="D40" s="801">
        <f>twAopt</f>
        <v>0</v>
      </c>
      <c r="E40" s="523"/>
      <c r="F40" s="430"/>
      <c r="G40" s="431"/>
      <c r="H40" s="432"/>
      <c r="I40" s="520"/>
      <c r="J40" s="520"/>
      <c r="K40" s="520"/>
      <c r="L40" s="898"/>
      <c r="M40" s="756"/>
      <c r="N40" s="756"/>
      <c r="O40" s="756"/>
      <c r="P40" s="756"/>
      <c r="Q40" s="756"/>
    </row>
    <row r="41" spans="1:19" ht="20.149999999999999" customHeight="1">
      <c r="A41" s="47"/>
      <c r="B41" s="762" t="str">
        <f>IF(Ic=2,"  ν M*","  ν M")</f>
        <v xml:space="preserve">  ν M</v>
      </c>
      <c r="C41" s="434" t="s">
        <v>82</v>
      </c>
      <c r="D41" s="802">
        <f>EXP(-16.921+396.13/(107.41+D40))</f>
        <v>1.7905600238274961E-6</v>
      </c>
      <c r="E41" s="523"/>
      <c r="F41" s="430"/>
      <c r="G41" s="431"/>
      <c r="H41" s="432"/>
      <c r="I41" s="520"/>
      <c r="J41" s="520"/>
      <c r="K41" s="520"/>
      <c r="L41" s="898"/>
      <c r="M41" s="756"/>
      <c r="N41" s="756"/>
      <c r="O41" s="756"/>
      <c r="P41" s="756"/>
      <c r="Q41" s="756"/>
    </row>
    <row r="42" spans="1:19" ht="5.15" customHeight="1">
      <c r="A42" s="47"/>
      <c r="B42" s="520"/>
      <c r="C42" s="520"/>
      <c r="D42" s="257"/>
      <c r="E42" s="523"/>
      <c r="F42" s="298"/>
      <c r="G42" s="523"/>
      <c r="H42" s="415"/>
      <c r="I42" s="520"/>
      <c r="J42" s="520"/>
      <c r="K42" s="520"/>
      <c r="L42" s="898"/>
      <c r="M42" s="756"/>
      <c r="N42" s="756"/>
      <c r="O42" s="756"/>
      <c r="P42" s="756"/>
      <c r="Q42" s="756"/>
    </row>
    <row r="43" spans="1:19" ht="15" customHeight="1">
      <c r="A43" s="54" t="s">
        <v>109</v>
      </c>
      <c r="B43" s="416" t="s">
        <v>291</v>
      </c>
      <c r="C43" s="417"/>
      <c r="D43" s="798"/>
      <c r="E43" s="523"/>
      <c r="F43" s="435"/>
      <c r="G43" s="435"/>
      <c r="H43" s="436"/>
      <c r="I43" s="435"/>
      <c r="J43" s="520"/>
      <c r="K43" s="520"/>
      <c r="L43" s="898"/>
      <c r="M43" s="756"/>
      <c r="N43" s="756"/>
      <c r="O43" s="756"/>
      <c r="P43" s="756"/>
      <c r="Q43" s="756"/>
    </row>
    <row r="44" spans="1:19" ht="20.149999999999999" customHeight="1">
      <c r="A44" s="47"/>
      <c r="B44" s="762" t="str">
        <f>IF(Ic=2,"  RaSP M*","  RaSP M")</f>
        <v xml:space="preserve">  RaSP M</v>
      </c>
      <c r="C44" s="370" t="s">
        <v>46</v>
      </c>
      <c r="D44" s="803">
        <f>RaSPA</f>
        <v>0</v>
      </c>
      <c r="E44" s="523"/>
      <c r="F44" s="435"/>
      <c r="G44" s="437"/>
      <c r="H44" s="438"/>
      <c r="I44" s="435"/>
      <c r="J44" s="520"/>
      <c r="K44" s="520"/>
      <c r="L44" s="898"/>
      <c r="M44" s="756"/>
      <c r="N44" s="756"/>
      <c r="O44" s="756"/>
      <c r="P44" s="756"/>
      <c r="Q44" s="756"/>
    </row>
    <row r="45" spans="1:19" ht="20.149999999999999" customHeight="1">
      <c r="A45" s="47"/>
      <c r="B45" s="762" t="str">
        <f>IF(Ic=2,"  RaSV M*","  RaSV M")</f>
        <v xml:space="preserve">  RaSV M</v>
      </c>
      <c r="C45" s="370" t="s">
        <v>46</v>
      </c>
      <c r="D45" s="803">
        <f>RaSVA</f>
        <v>0</v>
      </c>
      <c r="E45" s="523"/>
      <c r="F45" s="435"/>
      <c r="G45" s="437"/>
      <c r="H45" s="438"/>
      <c r="I45" s="435"/>
      <c r="J45" s="520"/>
      <c r="K45" s="520"/>
      <c r="L45" s="898"/>
      <c r="M45" s="756"/>
      <c r="N45" s="756"/>
      <c r="O45" s="756"/>
      <c r="P45" s="756"/>
      <c r="Q45" s="756"/>
    </row>
    <row r="46" spans="1:19" ht="20.149999999999999" customHeight="1">
      <c r="A46" s="47"/>
      <c r="B46" s="762" t="str">
        <f>IF(Ic=2,"  RaGV M*","  RaGV M")</f>
        <v xml:space="preserve">  RaGV M</v>
      </c>
      <c r="C46" s="370" t="s">
        <v>46</v>
      </c>
      <c r="D46" s="803">
        <f>RaGVA</f>
        <v>0</v>
      </c>
      <c r="E46" s="523"/>
      <c r="F46" s="435"/>
      <c r="G46" s="437"/>
      <c r="H46" s="438"/>
      <c r="I46" s="435"/>
      <c r="J46" s="520"/>
      <c r="K46" s="520"/>
      <c r="L46" s="898"/>
      <c r="M46" s="756"/>
      <c r="N46" s="756"/>
      <c r="O46" s="756"/>
      <c r="P46" s="756"/>
      <c r="Q46" s="756"/>
    </row>
    <row r="47" spans="1:19" ht="20.149999999999999" customHeight="1">
      <c r="A47" s="47"/>
      <c r="B47" s="762" t="str">
        <f>IF(Ic=2,"  RaRU M*","  RaRU M")</f>
        <v xml:space="preserve">  RaRU M</v>
      </c>
      <c r="C47" s="370" t="s">
        <v>46</v>
      </c>
      <c r="D47" s="803">
        <f>RaRUA</f>
        <v>0</v>
      </c>
      <c r="E47" s="523"/>
      <c r="F47" s="435"/>
      <c r="G47" s="437"/>
      <c r="H47" s="438"/>
      <c r="I47" s="435"/>
      <c r="J47" s="520"/>
      <c r="K47" s="520"/>
      <c r="L47" s="898"/>
      <c r="M47" s="756"/>
      <c r="N47" s="756"/>
      <c r="O47" s="756"/>
      <c r="P47" s="756"/>
      <c r="Q47" s="756"/>
    </row>
    <row r="48" spans="1:19" ht="20.149999999999999" customHeight="1">
      <c r="A48" s="47"/>
      <c r="B48" s="762" t="str">
        <f>IF(Ic=2,"  RaDT M*","  RaDT M")</f>
        <v xml:space="preserve">  RaDT M</v>
      </c>
      <c r="C48" s="370" t="s">
        <v>46</v>
      </c>
      <c r="D48" s="803">
        <f>RaDTA</f>
        <v>0</v>
      </c>
      <c r="E48" s="523"/>
      <c r="F48" s="435"/>
      <c r="G48" s="437"/>
      <c r="H48" s="438"/>
      <c r="I48" s="435"/>
      <c r="J48" s="520"/>
      <c r="K48" s="520"/>
      <c r="L48" s="898"/>
      <c r="M48" s="756"/>
      <c r="N48" s="756"/>
      <c r="O48" s="756"/>
      <c r="P48" s="756"/>
      <c r="Q48" s="756"/>
    </row>
    <row r="49" spans="1:17" ht="14.25" customHeight="1">
      <c r="A49" s="47"/>
      <c r="B49" s="48"/>
      <c r="C49" s="48"/>
      <c r="D49" s="255"/>
      <c r="E49" s="523"/>
      <c r="F49" s="520"/>
      <c r="G49" s="520"/>
      <c r="H49" s="520"/>
      <c r="I49" s="520"/>
      <c r="J49" s="520"/>
      <c r="K49" s="520"/>
      <c r="L49" s="898"/>
      <c r="M49" s="756"/>
      <c r="N49" s="756"/>
      <c r="O49" s="756"/>
      <c r="P49" s="756"/>
      <c r="Q49" s="756"/>
    </row>
    <row r="50" spans="1:17" ht="9" customHeight="1">
      <c r="A50" s="47"/>
      <c r="B50" s="48"/>
      <c r="C50" s="439"/>
      <c r="D50" s="255"/>
      <c r="E50" s="523"/>
      <c r="F50" s="520"/>
      <c r="G50" s="520"/>
      <c r="H50" s="520"/>
      <c r="I50" s="520"/>
      <c r="J50" s="520"/>
      <c r="K50" s="520"/>
      <c r="L50" s="898"/>
      <c r="M50" s="756"/>
      <c r="N50" s="756"/>
      <c r="O50" s="756"/>
      <c r="P50" s="756"/>
      <c r="Q50" s="756"/>
    </row>
    <row r="51" spans="1:17" ht="20.149999999999999" customHeight="1">
      <c r="A51" s="54" t="s">
        <v>111</v>
      </c>
      <c r="B51" s="63" t="s">
        <v>290</v>
      </c>
      <c r="C51" s="48"/>
      <c r="D51" s="255"/>
      <c r="E51" s="523"/>
      <c r="F51" s="520"/>
      <c r="G51" s="520"/>
      <c r="H51" s="520"/>
      <c r="I51" s="520"/>
      <c r="J51" s="520"/>
      <c r="K51" s="520"/>
      <c r="L51" s="898"/>
      <c r="M51" s="756"/>
      <c r="N51" s="756"/>
      <c r="O51" s="756"/>
      <c r="P51" s="756"/>
      <c r="Q51" s="756"/>
    </row>
    <row r="52" spans="1:17" ht="14">
      <c r="A52" s="47"/>
      <c r="B52" s="48"/>
      <c r="C52" s="48"/>
      <c r="D52" s="440" t="s">
        <v>112</v>
      </c>
      <c r="E52" s="440"/>
      <c r="F52" s="520"/>
      <c r="G52" s="520"/>
      <c r="H52" s="520"/>
      <c r="I52" s="520"/>
      <c r="J52" s="520"/>
      <c r="K52" s="520"/>
      <c r="L52" s="898"/>
      <c r="M52" s="756"/>
      <c r="N52" s="756"/>
      <c r="O52" s="756"/>
      <c r="P52" s="756"/>
      <c r="Q52" s="756"/>
    </row>
    <row r="53" spans="1:17" ht="20.149999999999999" customHeight="1">
      <c r="A53" s="47"/>
      <c r="B53" s="762" t="s">
        <v>504</v>
      </c>
      <c r="C53" s="610" t="s">
        <v>114</v>
      </c>
      <c r="D53" s="804" t="e">
        <f>PI()*(D18/1000)*D21</f>
        <v>#DIV/0!</v>
      </c>
      <c r="E53" s="442"/>
      <c r="F53" s="856" t="s">
        <v>508</v>
      </c>
      <c r="G53" s="732"/>
      <c r="H53" s="520"/>
      <c r="I53" s="520"/>
      <c r="J53" s="520"/>
      <c r="K53" s="520"/>
      <c r="L53" s="906"/>
      <c r="M53" s="756"/>
      <c r="N53" s="756"/>
      <c r="O53" s="756"/>
      <c r="P53" s="756"/>
      <c r="Q53" s="756"/>
    </row>
    <row r="54" spans="1:17" ht="20.149999999999999" customHeight="1">
      <c r="A54" s="47"/>
      <c r="B54" s="762" t="str">
        <f>IF(Ic=2,"  u M* ","  u M")</f>
        <v xml:space="preserve">  u M</v>
      </c>
      <c r="C54" s="610" t="s">
        <v>114</v>
      </c>
      <c r="D54" s="804">
        <f>PI()*(D37/1000)*D34</f>
        <v>0</v>
      </c>
      <c r="E54" s="442"/>
      <c r="F54" s="856" t="str">
        <f>IF(Ic=2,"   uM* : Peripheral velocity at specified DM*","   uM : Peripheral velocity at DM")</f>
        <v xml:space="preserve">   uM : Peripheral velocity at DM</v>
      </c>
      <c r="G54" s="732"/>
      <c r="H54" s="520"/>
      <c r="I54" s="520"/>
      <c r="J54" s="520"/>
      <c r="K54" s="520"/>
      <c r="L54" s="906"/>
      <c r="M54" s="756"/>
      <c r="N54" s="756"/>
      <c r="O54" s="756"/>
      <c r="P54" s="756"/>
      <c r="Q54" s="756"/>
    </row>
    <row r="55" spans="1:17" ht="20.149999999999999" customHeight="1">
      <c r="A55" s="47"/>
      <c r="B55" s="762" t="s">
        <v>314</v>
      </c>
      <c r="C55" s="610" t="s">
        <v>44</v>
      </c>
      <c r="D55" s="453">
        <f>D23</f>
        <v>7000000</v>
      </c>
      <c r="E55" s="443"/>
      <c r="F55" s="520"/>
      <c r="G55" s="732"/>
      <c r="H55" s="520"/>
      <c r="I55" s="520"/>
      <c r="J55" s="520"/>
      <c r="K55" s="520"/>
      <c r="L55" s="906"/>
      <c r="M55" s="756"/>
      <c r="N55" s="756"/>
      <c r="O55" s="756"/>
      <c r="P55" s="756"/>
      <c r="Q55" s="756"/>
    </row>
    <row r="56" spans="1:17" ht="20.149999999999999" customHeight="1">
      <c r="A56" s="47"/>
      <c r="B56" s="762" t="str">
        <f>IF(Ic=2,"  Re M*","  Re M")</f>
        <v xml:space="preserve">  Re M</v>
      </c>
      <c r="C56" s="610" t="s">
        <v>44</v>
      </c>
      <c r="D56" s="453">
        <f xml:space="preserve"> (D37/1000)^2*PI()*D34/D41</f>
        <v>0</v>
      </c>
      <c r="E56" s="443"/>
      <c r="F56" s="733"/>
      <c r="G56" s="732"/>
      <c r="H56" s="520"/>
      <c r="I56" s="520"/>
      <c r="J56" s="520"/>
      <c r="K56" s="520"/>
      <c r="L56" s="906"/>
      <c r="M56" s="756"/>
      <c r="N56" s="756"/>
      <c r="O56" s="756"/>
      <c r="P56" s="756"/>
      <c r="Q56" s="756"/>
    </row>
    <row r="57" spans="1:17" ht="6" customHeight="1">
      <c r="A57" s="47"/>
      <c r="B57" s="48"/>
      <c r="C57" s="48"/>
      <c r="D57" s="255"/>
      <c r="E57" s="523"/>
      <c r="F57" s="520"/>
      <c r="G57" s="520"/>
      <c r="H57" s="520"/>
      <c r="I57" s="520"/>
      <c r="J57" s="520"/>
      <c r="K57" s="520"/>
      <c r="L57" s="898"/>
      <c r="M57" s="756"/>
      <c r="N57" s="756"/>
      <c r="O57" s="756"/>
      <c r="P57" s="756"/>
      <c r="Q57" s="756"/>
    </row>
    <row r="58" spans="1:17" ht="20.149999999999999" customHeight="1">
      <c r="A58" s="54" t="s">
        <v>115</v>
      </c>
      <c r="B58" s="63" t="s">
        <v>116</v>
      </c>
      <c r="C58" s="48"/>
      <c r="D58" s="255"/>
      <c r="E58" s="523"/>
      <c r="F58" s="520"/>
      <c r="G58" s="520"/>
      <c r="H58" s="520"/>
      <c r="I58" s="520"/>
      <c r="J58" s="520"/>
      <c r="K58" s="520"/>
      <c r="L58" s="911" t="s">
        <v>28</v>
      </c>
      <c r="M58" s="756"/>
      <c r="N58" s="756"/>
      <c r="O58" s="756"/>
      <c r="P58" s="756"/>
      <c r="Q58" s="756"/>
    </row>
    <row r="59" spans="1:17" ht="20.149999999999999" customHeight="1">
      <c r="A59" s="47"/>
      <c r="B59" s="444"/>
      <c r="C59" s="445"/>
      <c r="D59" s="585" t="s">
        <v>117</v>
      </c>
      <c r="E59" s="365" t="s">
        <v>118</v>
      </c>
      <c r="F59" s="365" t="s">
        <v>271</v>
      </c>
      <c r="G59" s="365" t="s">
        <v>119</v>
      </c>
      <c r="H59" s="365" t="s">
        <v>120</v>
      </c>
      <c r="I59" s="520"/>
      <c r="J59" s="520"/>
      <c r="K59" s="520"/>
      <c r="L59" s="1292" t="s">
        <v>279</v>
      </c>
      <c r="M59" s="1293"/>
      <c r="N59" s="1293"/>
      <c r="O59" s="1293"/>
      <c r="P59" s="1293"/>
      <c r="Q59" s="1293"/>
    </row>
    <row r="60" spans="1:17" ht="20.149999999999999" customHeight="1">
      <c r="A60" s="47"/>
      <c r="B60" s="885" t="s">
        <v>507</v>
      </c>
      <c r="C60" s="367"/>
      <c r="D60" s="585" t="e">
        <f>IF(IT&lt;=3,D26/$D$18/1000,1)</f>
        <v>#DIV/0!</v>
      </c>
      <c r="E60" s="365" t="e">
        <f>IF(IT&lt;=3,D27/$D$18/1000,1)</f>
        <v>#DIV/0!</v>
      </c>
      <c r="F60" s="365" t="e">
        <f>IF(IT&lt;=3,D28/$D$18/1000,1)</f>
        <v>#DIV/0!</v>
      </c>
      <c r="G60" s="365" t="e">
        <f>IF(IT&lt;=3,D29/$D$18/1000,1)</f>
        <v>#DIV/0!</v>
      </c>
      <c r="H60" s="365" t="e">
        <f>IF(IT&lt;=3,D30/$D$18/1000,1)</f>
        <v>#DIV/0!</v>
      </c>
      <c r="I60" s="422"/>
      <c r="J60" s="520"/>
      <c r="K60" s="520"/>
      <c r="L60" s="1294"/>
      <c r="M60" s="1293"/>
      <c r="N60" s="1293"/>
      <c r="O60" s="1293"/>
      <c r="P60" s="1293"/>
      <c r="Q60" s="1293"/>
    </row>
    <row r="61" spans="1:17" ht="20.149999999999999" customHeight="1">
      <c r="A61" s="47"/>
      <c r="B61" s="885" t="str">
        <f>IF(Ic=2,"   RaCO M* / DM*","  RaCOM / DM")</f>
        <v xml:space="preserve">  RaCOM / DM</v>
      </c>
      <c r="C61" s="367"/>
      <c r="D61" s="585" t="e">
        <f>IF(IT&lt;=3,D44/$D$37/1000,1)</f>
        <v>#DIV/0!</v>
      </c>
      <c r="E61" s="365" t="e">
        <f>IF(IT&lt;=3,D45/$D$37/1000,1)</f>
        <v>#DIV/0!</v>
      </c>
      <c r="F61" s="365" t="e">
        <f>IF(IT&lt;=3,D46/$D$37/1000,1)</f>
        <v>#DIV/0!</v>
      </c>
      <c r="G61" s="365" t="e">
        <f>IF(IT&lt;=3,D47/$D$37/1000,1)</f>
        <v>#DIV/0!</v>
      </c>
      <c r="H61" s="365" t="e">
        <f>IF(IT&lt;=3,D48/$D$37/1000,1)</f>
        <v>#DIV/0!</v>
      </c>
      <c r="I61" s="422"/>
      <c r="J61" s="520"/>
      <c r="K61" s="520"/>
      <c r="L61" s="1294"/>
      <c r="M61" s="1293"/>
      <c r="N61" s="1293"/>
      <c r="O61" s="1293"/>
      <c r="P61" s="1293"/>
      <c r="Q61" s="1293"/>
    </row>
    <row r="62" spans="1:17" ht="8.25" customHeight="1">
      <c r="A62" s="47"/>
      <c r="B62" s="886"/>
      <c r="C62" s="520"/>
      <c r="D62" s="447"/>
      <c r="E62" s="447"/>
      <c r="F62" s="447"/>
      <c r="G62" s="447"/>
      <c r="H62" s="447"/>
      <c r="I62" s="520"/>
      <c r="J62" s="520"/>
      <c r="K62" s="520"/>
      <c r="L62" s="1295"/>
      <c r="M62" s="1296"/>
      <c r="N62" s="1296"/>
      <c r="O62" s="1296"/>
      <c r="P62" s="1296"/>
      <c r="Q62" s="1296"/>
    </row>
    <row r="63" spans="1:17" ht="18" customHeight="1">
      <c r="A63" s="54" t="s">
        <v>121</v>
      </c>
      <c r="B63" s="887" t="s">
        <v>505</v>
      </c>
      <c r="C63" s="520"/>
      <c r="D63" s="447"/>
      <c r="E63" s="447"/>
      <c r="F63" s="447"/>
      <c r="G63" s="447"/>
      <c r="H63" s="447"/>
      <c r="I63" s="520"/>
      <c r="J63" s="520"/>
      <c r="K63" s="520"/>
      <c r="L63" s="1295"/>
      <c r="M63" s="1296"/>
      <c r="N63" s="1296"/>
      <c r="O63" s="1296"/>
      <c r="P63" s="1296"/>
      <c r="Q63" s="1296"/>
    </row>
    <row r="64" spans="1:17" ht="18" customHeight="1">
      <c r="A64" s="47"/>
      <c r="B64" s="888"/>
      <c r="C64" s="449"/>
      <c r="D64" s="72" t="s">
        <v>117</v>
      </c>
      <c r="E64" s="365" t="s">
        <v>118</v>
      </c>
      <c r="F64" s="365" t="s">
        <v>271</v>
      </c>
      <c r="G64" s="365" t="s">
        <v>119</v>
      </c>
      <c r="H64" s="365" t="s">
        <v>120</v>
      </c>
      <c r="I64" s="520"/>
      <c r="J64" s="520"/>
      <c r="K64" s="520"/>
      <c r="L64" s="1295"/>
      <c r="M64" s="1296"/>
      <c r="N64" s="1296"/>
      <c r="O64" s="1296"/>
      <c r="P64" s="1296"/>
      <c r="Q64" s="1296"/>
    </row>
    <row r="65" spans="1:17" ht="18" customHeight="1">
      <c r="A65" s="47"/>
      <c r="B65" s="858" t="s">
        <v>457</v>
      </c>
      <c r="C65" s="450" t="s">
        <v>41</v>
      </c>
      <c r="D65" s="805">
        <f>IF(IT&gt;=4," ",IF(IT=1,0.4,IF(IT=2,0.45,IF(IT=3,0.45))))</f>
        <v>0.45</v>
      </c>
      <c r="E65" s="451" t="e">
        <f>IF(IT&gt;=4," ",IF(IT=1,-D14+0.4,IF(IT=2,-D14+0.45,IF(IT=3,-D14+0.5))))</f>
        <v>#DIV/0!</v>
      </c>
      <c r="F65" s="451" t="e">
        <f>IF(IT=1,-2.9*D14+1.65,IF(IT=2,-2.9*D14+1.65,IF(IT=3,-2.9*D14+1.65,IF(IT=4,1.23," "))))</f>
        <v>#DIV/0!</v>
      </c>
      <c r="G65" s="451" t="e">
        <f>IF(IT=1,3.4*D14+0.55,IF(IT=2,3.4*D14+1.35,IF(IT=3,3.4*D14+1.55,IF(IT=4,2.45," "))))</f>
        <v>#DIV/0!</v>
      </c>
      <c r="H65" s="451" t="e">
        <f>IF(IT&gt;=4," ",IF(IT=1,0.5*NQE+0.05,IF(IT=2,0.5*NQE+0.05,IF(IT=3,0.5*NQE+0.05))))</f>
        <v>#DIV/0!</v>
      </c>
      <c r="I65" s="519"/>
      <c r="J65" s="520"/>
      <c r="K65" s="520"/>
      <c r="L65" s="912"/>
      <c r="M65" s="913"/>
      <c r="N65" s="914"/>
      <c r="O65" s="915"/>
      <c r="P65" s="915"/>
      <c r="Q65" s="914"/>
    </row>
    <row r="66" spans="1:17" ht="18" customHeight="1">
      <c r="A66" s="47"/>
      <c r="B66" s="858" t="s">
        <v>458</v>
      </c>
      <c r="C66" s="450"/>
      <c r="D66" s="805" t="e">
        <f>IF(IT=1,-0.5*D14+0.33,IF(IT=2,-0.5*D14+0.34,IF(IT=3,-0.5*D14+0.31,IF(IT=4," "," "))))</f>
        <v>#DIV/0!</v>
      </c>
      <c r="E66" s="451" t="e">
        <f>IF(IT=1,-1.4*D14+0.6,IF(IT=2,-1.4*D14+0.57,IF(IT=3,-1.4*D14+0.53,IF(IT=4," "," "))))</f>
        <v>#DIV/0!</v>
      </c>
      <c r="F66" s="451" t="e">
        <f>IF(IT=1,-3.3*D14+1.29,IF(IT=2,-3.3*D14+1.23,IF(IT=3,-3.3*D14+0.96,IF(IT=4,0.19," "))))</f>
        <v>#DIV/0!</v>
      </c>
      <c r="G66" s="451" t="e">
        <f>IF(IT=1,-1.3*D14+0.9,IF(IT=2,-1.3*D14+0.87,IF(IT=3,-1.3*D14+0.79,IF(IT=4,1.03," "))))</f>
        <v>#DIV/0!</v>
      </c>
      <c r="H66" s="451">
        <f>IF(IT=1,0.28,IF(IT=2,0.31,IF(IT=3,0.27,IF(IT=4," "," "))))</f>
        <v>0.31</v>
      </c>
      <c r="I66" s="519"/>
      <c r="J66" s="520"/>
      <c r="K66" s="520"/>
      <c r="L66" s="916"/>
      <c r="M66" s="756"/>
      <c r="N66" s="756"/>
      <c r="O66" s="756"/>
      <c r="P66" s="756"/>
      <c r="Q66" s="756"/>
    </row>
    <row r="67" spans="1:17" ht="20.25" customHeight="1">
      <c r="A67" s="47"/>
      <c r="B67" s="889" t="s">
        <v>280</v>
      </c>
      <c r="C67" s="450"/>
      <c r="D67" s="452" t="e">
        <f>IF(D66=" ", " ",D66* 5*80000)</f>
        <v>#DIV/0!</v>
      </c>
      <c r="E67" s="453" t="e">
        <f>IF(E66=" ", " ",E66* 5*80000)</f>
        <v>#DIV/0!</v>
      </c>
      <c r="F67" s="453" t="e">
        <f>F66*5*80000</f>
        <v>#DIV/0!</v>
      </c>
      <c r="G67" s="453" t="e">
        <f>G66*IF(IT=4,500000,5*80000)</f>
        <v>#DIV/0!</v>
      </c>
      <c r="H67" s="454">
        <f>IF(H66=" ", " ",H66* 5*80000)</f>
        <v>124000</v>
      </c>
      <c r="I67" s="516"/>
      <c r="J67" s="520"/>
      <c r="K67" s="520"/>
      <c r="L67" s="917"/>
      <c r="M67" s="756"/>
      <c r="N67" s="756"/>
      <c r="O67" s="756"/>
      <c r="P67" s="756"/>
      <c r="Q67" s="756"/>
    </row>
    <row r="68" spans="1:17" ht="10.5" customHeight="1">
      <c r="A68" s="47"/>
      <c r="B68" s="255"/>
      <c r="C68" s="48"/>
      <c r="D68" s="255"/>
      <c r="E68" s="523"/>
      <c r="F68" s="520"/>
      <c r="G68" s="520"/>
      <c r="H68" s="520"/>
      <c r="I68" s="517"/>
      <c r="J68" s="517"/>
      <c r="K68" s="520"/>
      <c r="L68" s="906"/>
      <c r="M68" s="756"/>
      <c r="N68" s="756"/>
      <c r="O68" s="756"/>
      <c r="P68" s="756"/>
      <c r="Q68" s="756"/>
    </row>
    <row r="69" spans="1:17" ht="17.25" customHeight="1">
      <c r="A69" s="54" t="s">
        <v>122</v>
      </c>
      <c r="B69" s="887" t="s">
        <v>506</v>
      </c>
      <c r="C69" s="48"/>
      <c r="D69" s="255"/>
      <c r="E69" s="523"/>
      <c r="F69" s="520"/>
      <c r="G69" s="520"/>
      <c r="H69" s="520"/>
      <c r="I69" s="520"/>
      <c r="J69" s="520"/>
      <c r="K69" s="520"/>
      <c r="L69" s="916"/>
      <c r="M69" s="918"/>
      <c r="N69" s="918"/>
      <c r="O69" s="918"/>
      <c r="P69" s="918"/>
      <c r="Q69" s="918"/>
    </row>
    <row r="70" spans="1:17" ht="19.5" customHeight="1">
      <c r="A70" s="47"/>
      <c r="B70" s="890"/>
      <c r="C70" s="445"/>
      <c r="D70" s="585" t="s">
        <v>117</v>
      </c>
      <c r="E70" s="365" t="s">
        <v>118</v>
      </c>
      <c r="F70" s="365" t="s">
        <v>271</v>
      </c>
      <c r="G70" s="365" t="s">
        <v>119</v>
      </c>
      <c r="H70" s="365" t="s">
        <v>120</v>
      </c>
      <c r="I70" s="520"/>
      <c r="J70" s="520"/>
      <c r="K70" s="520"/>
      <c r="L70" s="916"/>
      <c r="M70" s="915"/>
      <c r="N70" s="915"/>
      <c r="O70" s="915"/>
      <c r="P70" s="915"/>
      <c r="Q70" s="915"/>
    </row>
    <row r="71" spans="1:17" ht="18.75" customHeight="1">
      <c r="A71" s="47"/>
      <c r="B71" s="857" t="s">
        <v>459</v>
      </c>
      <c r="C71" s="450"/>
      <c r="D71" s="806" t="e">
        <f>IF(D65=" "," ",D65*((D67*D60+(7000000/D55))^0.2-(D67*D61+(7000000/D56))^0.2)/100)</f>
        <v>#DIV/0!</v>
      </c>
      <c r="E71" s="455" t="e">
        <f>IF(E65=" "," ",E65*((E67*E60+(7000000/D55))^0.2-(E67*E61+(7000000/D56))^0.2)/100)</f>
        <v>#DIV/0!</v>
      </c>
      <c r="F71" s="822" t="e">
        <f>F65*((F67*F60+(7000000/D55))^0.2-(F67*F61+(7000000/D56))^0.2)/100</f>
        <v>#DIV/0!</v>
      </c>
      <c r="G71" s="455" t="e">
        <f>G65*((G67*G60+(7000000/D55))^0.2-(G67*G61+(7000000/D56))^0.2)/100</f>
        <v>#DIV/0!</v>
      </c>
      <c r="H71" s="455" t="e">
        <f>IF(H65=" "," ",H65*((H67*H60+(7000000/D55))^0.2-(H67*H61+(7000000/D56))^0.2)/100)</f>
        <v>#DIV/0!</v>
      </c>
      <c r="I71" s="518"/>
      <c r="J71" s="520"/>
      <c r="K71" s="520"/>
      <c r="L71" s="916"/>
      <c r="M71" s="915"/>
      <c r="N71" s="915"/>
      <c r="O71" s="915"/>
      <c r="P71" s="915"/>
      <c r="Q71" s="915"/>
    </row>
    <row r="72" spans="1:17" ht="20.149999999999999" customHeight="1">
      <c r="A72" s="47"/>
      <c r="B72" s="857" t="str">
        <f>IF(Ic=2," ΔE(Mref-&gt;M*)opt "," ΔE(Mref-&gt;M)opt ")</f>
        <v xml:space="preserve"> ΔE(Mref-&gt;M)opt </v>
      </c>
      <c r="C72" s="450"/>
      <c r="D72" s="366"/>
      <c r="E72" s="457"/>
      <c r="F72" s="458" t="e">
        <f>IF(IT=4,F71+G71,SUM(D71,E71,F71,G71,H71))</f>
        <v>#DIV/0!</v>
      </c>
      <c r="G72" s="457"/>
      <c r="H72" s="367"/>
      <c r="I72" s="520"/>
      <c r="J72" s="520"/>
      <c r="K72" s="520"/>
      <c r="L72" s="916"/>
      <c r="M72" s="915"/>
      <c r="N72" s="915"/>
      <c r="O72" s="915"/>
      <c r="P72" s="915"/>
      <c r="Q72" s="915"/>
    </row>
    <row r="73" spans="1:17" ht="7.5" customHeight="1">
      <c r="A73" s="47"/>
      <c r="B73" s="520"/>
      <c r="C73" s="520"/>
      <c r="D73" s="257"/>
      <c r="E73" s="523"/>
      <c r="F73" s="459"/>
      <c r="G73" s="520"/>
      <c r="H73" s="520"/>
      <c r="I73" s="520"/>
      <c r="J73" s="520"/>
      <c r="K73" s="520"/>
      <c r="L73" s="912"/>
      <c r="M73" s="914"/>
      <c r="N73" s="914"/>
      <c r="O73" s="915"/>
      <c r="P73" s="915"/>
      <c r="Q73" s="914"/>
    </row>
    <row r="74" spans="1:17" ht="20.149999999999999" customHeight="1">
      <c r="A74" s="47"/>
      <c r="B74" s="755"/>
      <c r="C74" s="756"/>
      <c r="D74" s="807"/>
      <c r="E74" s="734"/>
      <c r="F74" s="521"/>
      <c r="G74" s="521"/>
      <c r="H74" s="521"/>
      <c r="I74" s="520"/>
      <c r="J74" s="520"/>
      <c r="K74" s="520"/>
      <c r="L74" s="906"/>
      <c r="M74" s="756"/>
      <c r="N74" s="756"/>
      <c r="O74" s="756"/>
      <c r="P74" s="756"/>
      <c r="Q74" s="756"/>
    </row>
    <row r="75" spans="1:17" ht="20.149999999999999" customHeight="1">
      <c r="A75" s="47"/>
      <c r="B75" s="51"/>
      <c r="C75" s="51"/>
      <c r="D75" s="106"/>
      <c r="E75" s="734"/>
      <c r="F75" s="521"/>
      <c r="G75" s="521"/>
      <c r="H75" s="521"/>
      <c r="I75" s="520"/>
      <c r="J75" s="520"/>
      <c r="K75" s="520"/>
      <c r="L75" s="906"/>
      <c r="M75" s="756"/>
      <c r="N75" s="756"/>
      <c r="O75" s="756"/>
      <c r="P75" s="756"/>
      <c r="Q75" s="756"/>
    </row>
    <row r="78" spans="1:17" ht="20.149999999999999" customHeight="1">
      <c r="C78" s="324"/>
    </row>
    <row r="82" spans="3:3" ht="20.149999999999999" customHeight="1">
      <c r="C82" s="325"/>
    </row>
  </sheetData>
  <sheetProtection formatCells="0" formatColumns="0" formatRows="0"/>
  <mergeCells count="3">
    <mergeCell ref="I5:J5"/>
    <mergeCell ref="C7:D7"/>
    <mergeCell ref="L59:Q64"/>
  </mergeCells>
  <conditionalFormatting sqref="F20">
    <cfRule type="containsText" dxfId="0" priority="1" operator="containsText" text="Table">
      <formula>NOT(ISERROR(SEARCH("Table",F20)))</formula>
    </cfRule>
  </conditionalFormatting>
  <pageMargins left="0.70866141732283472" right="0.70866141732283472" top="0.74803149606299213" bottom="0.74803149606299213" header="0.31496062992125984" footer="0.31496062992125984"/>
  <pageSetup paperSize="9" scale="54" orientation="portrait" verticalDpi="598" r:id="rId1"/>
  <rowBreaks count="1" manualBreakCount="1">
    <brk id="48"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showGridLines="0" zoomScale="70" zoomScaleNormal="70" workbookViewId="0">
      <selection activeCell="C5" sqref="C5:E5"/>
    </sheetView>
  </sheetViews>
  <sheetFormatPr defaultColWidth="10.26953125" defaultRowHeight="20.149999999999999" customHeight="1"/>
  <cols>
    <col min="1" max="1" width="4.7265625" style="342" customWidth="1"/>
    <col min="2" max="2" width="24.7265625" style="342" customWidth="1"/>
    <col min="3" max="3" width="27.7265625" style="342" customWidth="1"/>
    <col min="4" max="4" width="21.7265625" style="342" customWidth="1"/>
    <col min="5" max="5" width="16.7265625" style="342" customWidth="1"/>
    <col min="6" max="6" width="42.7265625" style="342" customWidth="1"/>
    <col min="7" max="7" width="24.7265625" style="342" customWidth="1"/>
    <col min="8" max="8" width="10.7265625" style="342" customWidth="1"/>
    <col min="9" max="9" width="32" style="342" customWidth="1"/>
    <col min="10" max="10" width="5.54296875" style="342" customWidth="1"/>
    <col min="11" max="16" width="14.453125" style="342" customWidth="1"/>
    <col min="17" max="16384" width="10.26953125" style="342"/>
  </cols>
  <sheetData>
    <row r="1" spans="1:13" s="343" customFormat="1" ht="20">
      <c r="A1" s="177"/>
      <c r="B1" s="178"/>
      <c r="C1" s="767" t="s">
        <v>325</v>
      </c>
      <c r="D1" s="179"/>
      <c r="E1" s="180"/>
      <c r="F1" s="180"/>
      <c r="G1" s="703"/>
      <c r="H1" s="704"/>
      <c r="I1" s="1144"/>
      <c r="J1" s="1145"/>
      <c r="K1" s="1146"/>
      <c r="L1" s="1147"/>
      <c r="M1" s="1147"/>
    </row>
    <row r="2" spans="1:13" s="344" customFormat="1" ht="15.5">
      <c r="A2" s="181"/>
      <c r="B2" s="569" t="str">
        <f>IF(D9=4,"For axial flow machines, no scale effect on power efficiency is considered."," ")</f>
        <v xml:space="preserve"> </v>
      </c>
      <c r="C2" s="181"/>
      <c r="D2" s="181"/>
      <c r="E2" s="181"/>
      <c r="F2" s="181"/>
      <c r="G2" s="569"/>
      <c r="H2" s="569"/>
      <c r="I2" s="1148"/>
    </row>
    <row r="3" spans="1:13" s="344" customFormat="1" ht="16.5" customHeight="1">
      <c r="A3" s="181"/>
      <c r="B3" s="569"/>
      <c r="C3" s="183"/>
      <c r="D3" s="184" t="s">
        <v>90</v>
      </c>
      <c r="E3" s="185"/>
      <c r="F3" s="896"/>
      <c r="G3" s="705" t="s">
        <v>80</v>
      </c>
      <c r="H3" s="569"/>
      <c r="I3" s="1148"/>
    </row>
    <row r="4" spans="1:13" s="331" customFormat="1" ht="5.15" customHeight="1">
      <c r="A4" s="186"/>
      <c r="B4" s="186"/>
      <c r="C4" s="186"/>
      <c r="D4" s="186"/>
      <c r="E4" s="186"/>
      <c r="F4" s="186"/>
      <c r="G4" s="571"/>
      <c r="H4" s="571"/>
      <c r="I4" s="1149"/>
      <c r="K4" s="330"/>
      <c r="L4" s="330"/>
      <c r="M4" s="330"/>
    </row>
    <row r="5" spans="1:13" s="331" customFormat="1" ht="18">
      <c r="A5" s="187"/>
      <c r="B5" s="134" t="s">
        <v>91</v>
      </c>
      <c r="C5" s="736" t="str">
        <f>'EtahAmaxM (Spec. Energy Eff.)'!C5</f>
        <v xml:space="preserve"> </v>
      </c>
      <c r="D5" s="737"/>
      <c r="E5" s="189"/>
      <c r="F5" s="735" t="s">
        <v>92</v>
      </c>
      <c r="G5" s="1300">
        <f>RefNumb</f>
        <v>0</v>
      </c>
      <c r="H5" s="1301"/>
      <c r="I5" s="607"/>
      <c r="J5" s="1150"/>
      <c r="K5" s="330"/>
      <c r="L5" s="330"/>
      <c r="M5" s="330"/>
    </row>
    <row r="6" spans="1:13" s="331" customFormat="1" ht="5.15" customHeight="1">
      <c r="A6" s="187"/>
      <c r="B6" s="134"/>
      <c r="C6" s="190"/>
      <c r="D6" s="561"/>
      <c r="E6" s="562"/>
      <c r="F6" s="147"/>
      <c r="G6" s="698"/>
      <c r="H6" s="706"/>
      <c r="I6" s="1151"/>
      <c r="J6" s="1073"/>
      <c r="K6" s="330"/>
      <c r="L6" s="330"/>
      <c r="M6" s="330"/>
    </row>
    <row r="7" spans="1:13" s="331" customFormat="1" ht="17.5">
      <c r="A7" s="187"/>
      <c r="B7" s="134" t="s">
        <v>93</v>
      </c>
      <c r="C7" s="135">
        <f ca="1">'EtahAmaxM (Spec. Energy Eff.)'!C7:D7</f>
        <v>43321</v>
      </c>
      <c r="D7" s="136"/>
      <c r="E7" s="562"/>
      <c r="F7" s="147"/>
      <c r="G7" s="698"/>
      <c r="H7" s="571"/>
      <c r="I7" s="1149"/>
      <c r="K7" s="330"/>
      <c r="L7" s="330"/>
      <c r="M7" s="330"/>
    </row>
    <row r="8" spans="1:13" s="331" customFormat="1" ht="14">
      <c r="A8" s="178"/>
      <c r="B8" s="520"/>
      <c r="C8" s="48"/>
      <c r="D8" s="186"/>
      <c r="E8" s="178"/>
      <c r="F8" s="178"/>
      <c r="G8" s="533"/>
      <c r="H8" s="533"/>
      <c r="I8" s="1152"/>
      <c r="J8" s="330"/>
      <c r="K8" s="330"/>
      <c r="L8" s="330"/>
      <c r="M8" s="330"/>
    </row>
    <row r="9" spans="1:13" s="331" customFormat="1" ht="17.5">
      <c r="A9" s="178"/>
      <c r="B9" s="747" t="s">
        <v>191</v>
      </c>
      <c r="C9" s="812" t="str">
        <f>IF(IT=1,"Francis turbine",IF(IT=2,"Pump Turbine (Turbine mode)",IF(IT=3,"Pump Turbine (Pump mode)", IF(IT=4,"Axial flow machines","???"))))</f>
        <v>Pump Turbine (Turbine mode)</v>
      </c>
      <c r="D9" s="196"/>
      <c r="E9" s="178"/>
      <c r="F9" s="809" t="s">
        <v>316</v>
      </c>
      <c r="G9" s="563"/>
      <c r="H9" s="560"/>
      <c r="J9" s="1205"/>
      <c r="K9" s="312"/>
      <c r="L9" s="312"/>
      <c r="M9" s="330"/>
    </row>
    <row r="10" spans="1:13" s="331" customFormat="1" ht="14">
      <c r="A10" s="178"/>
      <c r="B10" s="533"/>
      <c r="C10" s="374"/>
      <c r="D10" s="375"/>
      <c r="E10" s="178"/>
      <c r="F10" s="614"/>
      <c r="G10" s="614"/>
      <c r="H10" s="614"/>
      <c r="I10" s="1152"/>
      <c r="J10" s="330"/>
      <c r="K10" s="330"/>
      <c r="L10" s="330"/>
      <c r="M10" s="330"/>
    </row>
    <row r="11" spans="1:13" s="331" customFormat="1" ht="15.75" customHeight="1">
      <c r="A11" s="130" t="s">
        <v>29</v>
      </c>
      <c r="B11" s="520"/>
      <c r="C11" s="55"/>
      <c r="D11" s="48"/>
      <c r="E11" s="178"/>
      <c r="F11" s="533"/>
      <c r="G11" s="533"/>
      <c r="H11" s="533"/>
      <c r="I11" s="1152"/>
      <c r="J11" s="330"/>
      <c r="K11" s="330"/>
      <c r="L11" s="330"/>
      <c r="M11" s="330"/>
    </row>
    <row r="12" spans="1:13" s="331" customFormat="1" ht="15.75" customHeight="1">
      <c r="A12" s="63"/>
      <c r="B12" s="520"/>
      <c r="C12" s="191" t="s">
        <v>125</v>
      </c>
      <c r="D12" s="192">
        <f>Ic</f>
        <v>1</v>
      </c>
      <c r="E12" s="178"/>
      <c r="F12" s="178"/>
      <c r="G12" s="533"/>
      <c r="H12" s="533"/>
      <c r="I12" s="1152"/>
      <c r="J12" s="330"/>
      <c r="K12" s="330"/>
      <c r="L12" s="330"/>
      <c r="M12" s="330"/>
    </row>
    <row r="13" spans="1:13" s="331" customFormat="1" ht="7.5" customHeight="1">
      <c r="A13" s="178"/>
      <c r="B13" s="520"/>
      <c r="C13" s="48"/>
      <c r="D13" s="186"/>
      <c r="E13" s="178"/>
      <c r="F13" s="178"/>
      <c r="G13" s="533"/>
      <c r="H13" s="533"/>
      <c r="I13" s="1152"/>
      <c r="J13" s="330"/>
      <c r="K13" s="330"/>
      <c r="L13" s="330"/>
      <c r="M13" s="330"/>
    </row>
    <row r="14" spans="1:13" s="331" customFormat="1" ht="14">
      <c r="A14" s="193" t="s">
        <v>126</v>
      </c>
      <c r="B14" s="178"/>
      <c r="C14" s="520"/>
      <c r="D14" s="48"/>
      <c r="E14" s="178"/>
      <c r="F14" s="178"/>
      <c r="G14" s="533"/>
      <c r="H14" s="533"/>
      <c r="I14" s="902"/>
      <c r="J14" s="330"/>
      <c r="K14" s="330"/>
      <c r="L14" s="330"/>
      <c r="M14" s="330"/>
    </row>
    <row r="15" spans="1:13" s="331" customFormat="1" ht="5.15" customHeight="1">
      <c r="A15" s="178"/>
      <c r="B15" s="178"/>
      <c r="C15" s="194"/>
      <c r="D15" s="195"/>
      <c r="E15" s="178"/>
      <c r="F15" s="178"/>
      <c r="G15" s="533"/>
      <c r="H15" s="533"/>
      <c r="I15" s="1152"/>
      <c r="J15" s="330"/>
      <c r="K15" s="330"/>
      <c r="L15" s="330"/>
      <c r="M15" s="330"/>
    </row>
    <row r="16" spans="1:13" s="331" customFormat="1" ht="14">
      <c r="A16" s="193" t="s">
        <v>21</v>
      </c>
      <c r="B16" s="193"/>
      <c r="C16" s="63" t="s">
        <v>503</v>
      </c>
      <c r="D16" s="178"/>
      <c r="E16" s="178"/>
      <c r="F16" s="178"/>
      <c r="G16" s="533"/>
      <c r="H16" s="533"/>
      <c r="I16" s="1152"/>
      <c r="J16" s="330"/>
      <c r="K16" s="330"/>
      <c r="L16" s="330"/>
      <c r="M16" s="330"/>
    </row>
    <row r="17" spans="1:13" s="331" customFormat="1" ht="19.5">
      <c r="A17" s="178"/>
      <c r="B17" s="830" t="s">
        <v>297</v>
      </c>
      <c r="C17" s="373" t="s">
        <v>44</v>
      </c>
      <c r="D17" s="355" t="e">
        <f>NQE</f>
        <v>#DIV/0!</v>
      </c>
      <c r="E17" s="178"/>
      <c r="F17" s="178"/>
      <c r="G17" s="533"/>
      <c r="H17" s="533"/>
      <c r="I17" s="1152"/>
      <c r="J17" s="330"/>
      <c r="K17" s="330"/>
      <c r="L17" s="330"/>
      <c r="M17" s="330"/>
    </row>
    <row r="18" spans="1:13" s="331" customFormat="1" ht="19.5">
      <c r="A18" s="178"/>
      <c r="B18" s="830" t="s">
        <v>339</v>
      </c>
      <c r="C18" s="373" t="s">
        <v>37</v>
      </c>
      <c r="D18" s="356">
        <f>IF(Ic=1,DB,DA)</f>
        <v>0</v>
      </c>
      <c r="E18" s="178"/>
      <c r="F18" s="178"/>
      <c r="G18" s="533"/>
      <c r="H18" s="533"/>
      <c r="I18" s="1152"/>
      <c r="J18" s="330"/>
      <c r="K18" s="330"/>
      <c r="L18" s="330"/>
      <c r="M18" s="330"/>
    </row>
    <row r="19" spans="1:13" s="331" customFormat="1" ht="19.5">
      <c r="A19" s="178"/>
      <c r="B19" s="830" t="s">
        <v>340</v>
      </c>
      <c r="C19" s="373" t="s">
        <v>44</v>
      </c>
      <c r="D19" s="896">
        <f>'EtahAmaxM (Spec. Energy Eff.)'!D55</f>
        <v>7000000</v>
      </c>
      <c r="E19" s="197"/>
      <c r="F19" s="178"/>
      <c r="G19" s="533"/>
      <c r="H19" s="533"/>
      <c r="I19" s="1152"/>
      <c r="J19" s="330"/>
      <c r="K19" s="330"/>
      <c r="L19" s="330"/>
      <c r="M19" s="330"/>
    </row>
    <row r="20" spans="1:13" s="331" customFormat="1" ht="19.5">
      <c r="A20" s="178"/>
      <c r="B20" s="830" t="s">
        <v>498</v>
      </c>
      <c r="C20" s="373" t="s">
        <v>127</v>
      </c>
      <c r="D20" s="896">
        <f>(2*0.8+0.8)/3</f>
        <v>0.80000000000000016</v>
      </c>
      <c r="E20" s="178" t="s">
        <v>128</v>
      </c>
      <c r="F20" s="178"/>
      <c r="G20" s="533"/>
      <c r="H20" s="533"/>
      <c r="I20" s="1152"/>
      <c r="J20" s="330"/>
      <c r="K20" s="330"/>
      <c r="L20" s="330"/>
      <c r="M20" s="330"/>
    </row>
    <row r="21" spans="1:13" s="331" customFormat="1" ht="5.15" customHeight="1">
      <c r="A21" s="178"/>
      <c r="B21" s="831"/>
      <c r="C21" s="533"/>
      <c r="D21" s="87"/>
      <c r="E21" s="178"/>
      <c r="F21" s="178"/>
      <c r="G21" s="533"/>
      <c r="H21" s="533"/>
      <c r="I21" s="1152"/>
      <c r="J21" s="330"/>
      <c r="K21" s="330"/>
      <c r="L21" s="330"/>
      <c r="M21" s="330"/>
    </row>
    <row r="22" spans="1:13" s="331" customFormat="1" ht="16.5">
      <c r="A22" s="193" t="s">
        <v>36</v>
      </c>
      <c r="B22" s="832"/>
      <c r="C22" s="116" t="str">
        <f>IF(Ic=2,"Specified REFERENCE MODEL"," MODEL")</f>
        <v xml:space="preserve"> MODEL</v>
      </c>
      <c r="D22" s="198"/>
      <c r="E22" s="199"/>
      <c r="F22" s="199"/>
      <c r="G22" s="707"/>
      <c r="H22" s="533"/>
      <c r="I22" s="1152"/>
      <c r="J22" s="330"/>
      <c r="K22" s="330"/>
      <c r="L22" s="330"/>
      <c r="M22" s="330"/>
    </row>
    <row r="23" spans="1:13" s="331" customFormat="1" ht="16.5">
      <c r="A23" s="178"/>
      <c r="B23" s="830" t="str">
        <f>IF(Ic=2,"  DM*","  DM")</f>
        <v xml:space="preserve">  DM</v>
      </c>
      <c r="C23" s="373" t="s">
        <v>37</v>
      </c>
      <c r="D23" s="359">
        <f>DA</f>
        <v>0</v>
      </c>
      <c r="E23" s="200"/>
      <c r="F23" s="178"/>
      <c r="G23" s="533"/>
      <c r="H23" s="533"/>
      <c r="I23" s="1152"/>
      <c r="J23" s="330"/>
      <c r="K23" s="330"/>
      <c r="L23" s="330"/>
      <c r="M23" s="330"/>
    </row>
    <row r="24" spans="1:13" s="331" customFormat="1" ht="16.5">
      <c r="A24" s="178"/>
      <c r="B24" s="830" t="str">
        <f>IF(Ic=2,"  ReM*","  ReM")</f>
        <v xml:space="preserve">  ReM</v>
      </c>
      <c r="C24" s="373" t="s">
        <v>44</v>
      </c>
      <c r="D24" s="357">
        <f>ReAopt</f>
        <v>0</v>
      </c>
      <c r="E24" s="200"/>
      <c r="F24" s="178"/>
      <c r="G24" s="533"/>
      <c r="H24" s="533"/>
      <c r="I24" s="1152"/>
      <c r="J24" s="330"/>
      <c r="K24" s="330"/>
      <c r="L24" s="330"/>
      <c r="M24" s="330"/>
    </row>
    <row r="25" spans="1:13" s="331" customFormat="1" ht="16.5">
      <c r="A25" s="178"/>
      <c r="B25" s="830" t="str">
        <f>IF(Ic=2,"  RaTM*","  RaTM")</f>
        <v xml:space="preserve">  RaTM</v>
      </c>
      <c r="C25" s="373" t="s">
        <v>127</v>
      </c>
      <c r="D25" s="896">
        <f>RaTA</f>
        <v>0</v>
      </c>
      <c r="E25" s="200"/>
      <c r="F25" s="178"/>
      <c r="G25" s="533"/>
      <c r="H25" s="533"/>
      <c r="I25" s="1152"/>
      <c r="J25" s="330"/>
      <c r="K25" s="330"/>
      <c r="L25" s="330"/>
      <c r="M25" s="330"/>
    </row>
    <row r="26" spans="1:13" s="331" customFormat="1" ht="11.25" customHeight="1">
      <c r="A26" s="178"/>
      <c r="B26" s="533"/>
      <c r="C26" s="87"/>
      <c r="D26" s="201"/>
      <c r="E26" s="520"/>
      <c r="F26" s="178"/>
      <c r="G26" s="533"/>
      <c r="H26" s="533"/>
      <c r="I26" s="1152"/>
      <c r="J26" s="330"/>
      <c r="K26" s="330"/>
      <c r="L26" s="330"/>
      <c r="M26" s="330"/>
    </row>
    <row r="27" spans="1:13" s="331" customFormat="1" ht="18.5">
      <c r="A27" s="193" t="s">
        <v>236</v>
      </c>
      <c r="B27" s="178"/>
      <c r="C27" s="178"/>
      <c r="D27" s="178"/>
      <c r="E27" s="178"/>
      <c r="F27" s="178"/>
      <c r="G27" s="533"/>
      <c r="H27" s="533"/>
      <c r="I27" s="1152"/>
      <c r="J27" s="330"/>
      <c r="K27" s="1153"/>
      <c r="L27" s="1154"/>
      <c r="M27" s="1155"/>
    </row>
    <row r="28" spans="1:13" s="345" customFormat="1" ht="19.5">
      <c r="A28" s="202"/>
      <c r="B28" s="833" t="s">
        <v>344</v>
      </c>
      <c r="C28" s="360" t="e">
        <f>IF(IT=1,IF(-5.7*D17+2&gt;1,-5.7*D17+2,1),IF(IT=2,IF(-8.3*D17+2.7&gt;1,-8.3*D17+2.7,1),IF(IT=3,IF(-7.5*D17+2.7&gt;1,-7.5*D17+2.7,1),IF(IT=4," "," "))))</f>
        <v>#DIV/0!</v>
      </c>
      <c r="D28" s="178"/>
      <c r="E28" s="193"/>
      <c r="F28" s="193"/>
      <c r="G28" s="702"/>
      <c r="H28" s="702"/>
      <c r="I28" s="1156"/>
      <c r="J28" s="1157"/>
      <c r="K28" s="1153"/>
      <c r="L28" s="1154"/>
      <c r="M28" s="1155"/>
    </row>
    <row r="29" spans="1:13" s="331" customFormat="1" ht="5.15" customHeight="1">
      <c r="A29" s="178"/>
      <c r="B29" s="834"/>
      <c r="C29" s="361"/>
      <c r="D29" s="178"/>
      <c r="E29" s="178"/>
      <c r="F29" s="178"/>
      <c r="G29" s="533"/>
      <c r="H29" s="533"/>
      <c r="I29" s="1152"/>
      <c r="J29" s="330"/>
      <c r="K29" s="1153"/>
      <c r="L29" s="1154"/>
      <c r="M29" s="1155"/>
    </row>
    <row r="30" spans="1:13" s="331" customFormat="1" ht="19.5">
      <c r="A30" s="178"/>
      <c r="B30" s="830" t="s">
        <v>345</v>
      </c>
      <c r="C30" s="362" t="e">
        <f>100*IF(IT=1,(0.44+0.004/(D17^2))/100,IF(IT=2,(0.97+0.012/(D17^2))/100,IF(IT=3,(1.23+0.015/(D17^2))/100,IF(IT=4,0," "))))</f>
        <v>#DIV/0!</v>
      </c>
      <c r="D30" s="178"/>
      <c r="E30" s="178"/>
      <c r="F30" s="178"/>
      <c r="G30" s="533"/>
      <c r="H30" s="533"/>
      <c r="I30" s="1152"/>
      <c r="J30" s="330"/>
      <c r="K30" s="1153"/>
      <c r="L30" s="607"/>
      <c r="M30" s="607"/>
    </row>
    <row r="31" spans="1:13" s="331" customFormat="1" ht="5.15" customHeight="1">
      <c r="A31" s="178"/>
      <c r="B31" s="178"/>
      <c r="C31" s="195"/>
      <c r="D31" s="178"/>
      <c r="E31" s="178" t="s">
        <v>129</v>
      </c>
      <c r="F31" s="178"/>
      <c r="G31" s="707"/>
      <c r="H31" s="533"/>
      <c r="I31" s="1152"/>
      <c r="J31" s="330"/>
      <c r="M31" s="330"/>
    </row>
    <row r="32" spans="1:13" s="331" customFormat="1" ht="18.75" customHeight="1">
      <c r="A32" s="178"/>
      <c r="B32" s="830" t="s">
        <v>509</v>
      </c>
      <c r="C32" s="203"/>
      <c r="D32" s="572" t="e">
        <f>IF(IT=4,0,(D20/1000)/D18)</f>
        <v>#DIV/0!</v>
      </c>
      <c r="E32" s="830" t="str">
        <f>IF(Ic=2,"  (RaT/D)M*","  (RaT/D)M")</f>
        <v xml:space="preserve">  (RaT/D)M</v>
      </c>
      <c r="F32" s="203"/>
      <c r="G32" s="572" t="e">
        <f>IF(IT=4,0,(D25/1000)/D23)</f>
        <v>#DIV/0!</v>
      </c>
      <c r="H32" s="533"/>
      <c r="I32" s="1152"/>
      <c r="J32" s="330"/>
      <c r="M32" s="330"/>
    </row>
    <row r="33" spans="1:13" s="331" customFormat="1" ht="18.75" customHeight="1">
      <c r="A33" s="178"/>
      <c r="B33" s="830" t="s">
        <v>510</v>
      </c>
      <c r="C33" s="203"/>
      <c r="D33" s="572" t="e">
        <f>IF(IT=4,0,75000*C28*D32)</f>
        <v>#DIV/0!</v>
      </c>
      <c r="E33" s="830" t="str">
        <f>IF(Ic=2,"  7.5x104 κT(RaT/D)M*","  7.5x104 κT(RaT/D)M")</f>
        <v xml:space="preserve">  7.5x104 κT(RaT/D)M</v>
      </c>
      <c r="F33" s="204"/>
      <c r="G33" s="572" t="e">
        <f>IF(IT=4,0,75000*C28*G32)</f>
        <v>#DIV/0!</v>
      </c>
      <c r="H33" s="533"/>
      <c r="I33" s="1152"/>
      <c r="J33" s="330"/>
      <c r="M33" s="330"/>
    </row>
    <row r="34" spans="1:13" s="331" customFormat="1" ht="15">
      <c r="A34" s="178"/>
      <c r="B34" s="186"/>
      <c r="C34" s="186"/>
      <c r="D34" s="186"/>
      <c r="E34" s="829"/>
      <c r="F34" s="186"/>
      <c r="G34" s="571"/>
      <c r="H34" s="533"/>
      <c r="I34" s="1152"/>
      <c r="J34" s="330"/>
    </row>
    <row r="35" spans="1:13" s="331" customFormat="1" ht="19.5">
      <c r="A35" s="178"/>
      <c r="B35" s="830" t="s">
        <v>511</v>
      </c>
      <c r="C35" s="203"/>
      <c r="D35" s="572">
        <f>IF(IT=4,0,7000000/D19)</f>
        <v>1</v>
      </c>
      <c r="E35" s="830" t="str">
        <f>IF(Ic=2,"  7x106/ReM*opt","  7x106/ReMopt")</f>
        <v xml:space="preserve">  7x106/ReMopt</v>
      </c>
      <c r="F35" s="203"/>
      <c r="G35" s="572" t="e">
        <f>IF(IT=4,0,7000000/D24)</f>
        <v>#DIV/0!</v>
      </c>
      <c r="H35" s="533"/>
      <c r="I35" s="1152"/>
      <c r="J35" s="330"/>
    </row>
    <row r="36" spans="1:13" s="331" customFormat="1" ht="19.5">
      <c r="A36" s="178"/>
      <c r="B36" s="830" t="s">
        <v>512</v>
      </c>
      <c r="C36" s="203"/>
      <c r="D36" s="572" t="e">
        <f>(D33+D35)^0.2</f>
        <v>#DIV/0!</v>
      </c>
      <c r="E36" s="830" t="str">
        <f>IF(Ic=2,"  {7.5x104 κT(RaT/D)M*+7x106/ReM*opt}^0.2","  {7.5x104 κT(RaT/D)M+7x106/ReMopt}^0.2")</f>
        <v xml:space="preserve">  {7.5x104 κT(RaT/D)M+7x106/ReMopt}^0.2</v>
      </c>
      <c r="F36" s="206"/>
      <c r="G36" s="572" t="e">
        <f>(G33+G35)^0.2</f>
        <v>#DIV/0!</v>
      </c>
      <c r="H36" s="533"/>
      <c r="I36" s="1152"/>
      <c r="J36" s="330"/>
    </row>
    <row r="37" spans="1:13" s="607" customFormat="1" ht="8.25" customHeight="1">
      <c r="A37" s="533"/>
      <c r="B37" s="208"/>
      <c r="C37" s="209"/>
      <c r="D37" s="573"/>
      <c r="E37" s="211"/>
      <c r="F37" s="212"/>
      <c r="G37" s="573"/>
      <c r="H37" s="533"/>
      <c r="I37" s="1152"/>
      <c r="J37" s="194"/>
    </row>
    <row r="38" spans="1:13" s="331" customFormat="1" ht="16.5">
      <c r="A38" s="330"/>
      <c r="B38" s="1206" t="str">
        <f>IF(Ic=2,"  ΔT(Mref-&gt;M*)opt","  ΔT(Mref-&gt;M)opt")</f>
        <v xml:space="preserve">  ΔT(Mref-&gt;M)opt</v>
      </c>
      <c r="C38" s="1207" t="e">
        <f>IF(IT=4,0,C30*(D36-G36)/100)</f>
        <v>#DIV/0!</v>
      </c>
      <c r="G38" s="607"/>
      <c r="H38" s="194"/>
      <c r="I38" s="1152"/>
      <c r="J38" s="330"/>
      <c r="K38" s="330"/>
      <c r="L38" s="330"/>
      <c r="M38" s="330"/>
    </row>
    <row r="39" spans="1:13" s="331" customFormat="1" ht="14">
      <c r="A39" s="330"/>
      <c r="E39" s="607"/>
      <c r="F39" s="607"/>
      <c r="G39" s="607"/>
      <c r="H39" s="194"/>
      <c r="I39" s="1158"/>
      <c r="J39" s="332"/>
      <c r="K39" s="330"/>
      <c r="L39" s="330"/>
      <c r="M39" s="330"/>
    </row>
    <row r="40" spans="1:13" s="331" customFormat="1" ht="14">
      <c r="A40" s="330"/>
      <c r="B40" s="330"/>
      <c r="C40" s="330"/>
      <c r="D40" s="330"/>
      <c r="E40" s="1159"/>
      <c r="F40" s="1159"/>
      <c r="H40" s="330"/>
      <c r="I40" s="332"/>
      <c r="J40" s="332"/>
      <c r="K40" s="330"/>
      <c r="L40" s="330"/>
      <c r="M40" s="330"/>
    </row>
    <row r="41" spans="1:13" s="331" customFormat="1" ht="14">
      <c r="A41" s="330"/>
      <c r="D41" s="330"/>
      <c r="E41" s="1159"/>
      <c r="F41" s="1159"/>
      <c r="H41" s="330"/>
      <c r="I41" s="332"/>
      <c r="J41" s="332"/>
      <c r="K41" s="330"/>
      <c r="L41" s="330"/>
      <c r="M41" s="330"/>
    </row>
    <row r="42" spans="1:13" s="331" customFormat="1" ht="17.5">
      <c r="A42" s="330"/>
      <c r="B42" s="333"/>
      <c r="C42" s="194"/>
      <c r="D42" s="330"/>
      <c r="E42" s="194"/>
      <c r="F42" s="194"/>
      <c r="G42" s="330"/>
      <c r="H42" s="330"/>
      <c r="I42" s="330"/>
      <c r="J42" s="330"/>
      <c r="K42" s="332"/>
      <c r="L42" s="330"/>
      <c r="M42" s="330"/>
    </row>
    <row r="43" spans="1:13" s="328" customFormat="1" ht="14">
      <c r="A43" s="334"/>
      <c r="B43" s="335"/>
      <c r="C43" s="335"/>
      <c r="D43" s="336"/>
      <c r="E43" s="330"/>
      <c r="F43" s="330"/>
      <c r="G43" s="330"/>
      <c r="H43" s="336"/>
      <c r="I43" s="120"/>
      <c r="J43" s="120"/>
      <c r="K43" s="337"/>
      <c r="L43" s="331"/>
    </row>
    <row r="44" spans="1:13" s="328" customFormat="1" ht="14">
      <c r="A44" s="334"/>
      <c r="B44" s="335"/>
      <c r="C44" s="335"/>
      <c r="D44" s="336"/>
      <c r="E44" s="330"/>
      <c r="F44" s="330"/>
      <c r="G44" s="330"/>
      <c r="H44" s="336"/>
      <c r="I44" s="120"/>
      <c r="J44" s="120"/>
      <c r="K44" s="331"/>
      <c r="L44" s="331"/>
    </row>
    <row r="45" spans="1:13" s="331" customFormat="1" ht="18">
      <c r="B45" s="338"/>
      <c r="C45" s="607"/>
      <c r="E45" s="340"/>
      <c r="F45" s="340"/>
      <c r="G45" s="336"/>
      <c r="K45" s="341"/>
      <c r="L45" s="328"/>
    </row>
    <row r="46" spans="1:13" ht="14">
      <c r="E46" s="340"/>
      <c r="F46" s="340"/>
      <c r="G46" s="336"/>
      <c r="K46" s="341"/>
      <c r="L46" s="328"/>
    </row>
    <row r="47" spans="1:13" ht="14">
      <c r="G47" s="331"/>
      <c r="K47" s="331"/>
      <c r="L47" s="331"/>
    </row>
  </sheetData>
  <sheetProtection formatCells="0" formatColumns="0" formatRows="0"/>
  <mergeCells count="1">
    <mergeCell ref="G5:H5"/>
  </mergeCells>
  <pageMargins left="0.70866141732283472" right="0.70866141732283472" top="0.74803149606299213" bottom="0.74803149606299213" header="0.31496062992125984" footer="0.31496062992125984"/>
  <pageSetup paperSize="9" scale="38"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69</vt:i4>
      </vt:variant>
    </vt:vector>
  </HeadingPairs>
  <TitlesOfParts>
    <vt:vector size="77" baseType="lpstr">
      <vt:lpstr>Cover</vt:lpstr>
      <vt:lpstr>Input Form</vt:lpstr>
      <vt:lpstr>Hydraulic Perf. (Results)</vt:lpstr>
      <vt:lpstr>Specific Energy Eff.</vt:lpstr>
      <vt:lpstr>Power Eff.</vt:lpstr>
      <vt:lpstr>Volumetric Eff.</vt:lpstr>
      <vt:lpstr>EtahAmaxM (Spec. Energy Eff.)</vt:lpstr>
      <vt:lpstr>EtahAmaxM (Power Eff.)</vt:lpstr>
      <vt:lpstr>_Date</vt:lpstr>
      <vt:lpstr>DA</vt:lpstr>
      <vt:lpstr>DB</vt:lpstr>
      <vt:lpstr>dTref</vt:lpstr>
      <vt:lpstr>EAi</vt:lpstr>
      <vt:lpstr>EAopt</vt:lpstr>
      <vt:lpstr>EBi</vt:lpstr>
      <vt:lpstr>EBopt</vt:lpstr>
      <vt:lpstr>EMBi</vt:lpstr>
      <vt:lpstr>EtaAi</vt:lpstr>
      <vt:lpstr>EtaAopt</vt:lpstr>
      <vt:lpstr>EtaBi</vt:lpstr>
      <vt:lpstr>EtaBopt</vt:lpstr>
      <vt:lpstr>EtahAMAX</vt:lpstr>
      <vt:lpstr>fi</vt:lpstr>
      <vt:lpstr>Homol_seal</vt:lpstr>
      <vt:lpstr>Ic</vt:lpstr>
      <vt:lpstr>IT</vt:lpstr>
      <vt:lpstr>kT</vt:lpstr>
      <vt:lpstr>lambdaC</vt:lpstr>
      <vt:lpstr>nAi</vt:lpstr>
      <vt:lpstr>nAopt</vt:lpstr>
      <vt:lpstr>nB</vt:lpstr>
      <vt:lpstr>NQE</vt:lpstr>
      <vt:lpstr>Cover!Print_Area</vt:lpstr>
      <vt:lpstr>'EtahAmaxM (Spec. Energy Eff.)'!Print_Area</vt:lpstr>
      <vt:lpstr>'Hydraulic Perf. (Results)'!Print_Area</vt:lpstr>
      <vt:lpstr>'Input Form'!Print_Area</vt:lpstr>
      <vt:lpstr>'Power Eff.'!Print_Area</vt:lpstr>
      <vt:lpstr>'Specific Energy Eff.'!Print_Area</vt:lpstr>
      <vt:lpstr>'Volumetric Eff.'!Print_Area</vt:lpstr>
      <vt:lpstr>Project</vt:lpstr>
      <vt:lpstr>Q1Ai</vt:lpstr>
      <vt:lpstr>Q1Aopt</vt:lpstr>
      <vt:lpstr>Q1Bi</vt:lpstr>
      <vt:lpstr>Q1Bopt</vt:lpstr>
      <vt:lpstr>RaDTA</vt:lpstr>
      <vt:lpstr>RaDTB</vt:lpstr>
      <vt:lpstr>RaGVA</vt:lpstr>
      <vt:lpstr>RaGVB</vt:lpstr>
      <vt:lpstr>RaRUA</vt:lpstr>
      <vt:lpstr>RaRUB</vt:lpstr>
      <vt:lpstr>RaSPA</vt:lpstr>
      <vt:lpstr>RaSPB</vt:lpstr>
      <vt:lpstr>RaSVA</vt:lpstr>
      <vt:lpstr>RaSVB</vt:lpstr>
      <vt:lpstr>RaTA</vt:lpstr>
      <vt:lpstr>RaTB</vt:lpstr>
      <vt:lpstr>RaTRA</vt:lpstr>
      <vt:lpstr>RaTRB</vt:lpstr>
      <vt:lpstr>RaTSA</vt:lpstr>
      <vt:lpstr>RaTSB</vt:lpstr>
      <vt:lpstr>ReAi</vt:lpstr>
      <vt:lpstr>ReAopt</vt:lpstr>
      <vt:lpstr>ReB</vt:lpstr>
      <vt:lpstr>RefNumb</vt:lpstr>
      <vt:lpstr>rhoB</vt:lpstr>
      <vt:lpstr>rhoMstar</vt:lpstr>
      <vt:lpstr>twAi</vt:lpstr>
      <vt:lpstr>twAopt</vt:lpstr>
      <vt:lpstr>twB</vt:lpstr>
      <vt:lpstr>twP</vt:lpstr>
      <vt:lpstr>ViscAi</vt:lpstr>
      <vt:lpstr>ViscAopt</vt:lpstr>
      <vt:lpstr>ViscB</vt:lpstr>
      <vt:lpstr>Zd</vt:lpstr>
      <vt:lpstr>Zetak1</vt:lpstr>
      <vt:lpstr>Zetak2</vt:lpstr>
      <vt:lpstr>ZetakS</vt:lpstr>
    </vt:vector>
  </TitlesOfParts>
  <Company>Andritz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Artner Wolfgang</dc:creator>
  <cp:lastModifiedBy>MMA</cp:lastModifiedBy>
  <cp:lastPrinted>2017-10-12T14:44:11Z</cp:lastPrinted>
  <dcterms:created xsi:type="dcterms:W3CDTF">2017-01-24T18:36:36Z</dcterms:created>
  <dcterms:modified xsi:type="dcterms:W3CDTF">2018-08-09T12:25:19Z</dcterms:modified>
</cp:coreProperties>
</file>