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https://iecco-my.sharepoint.com/personal/sso_iec_ch/Documents/EDITING/86C/"/>
    </mc:Choice>
  </mc:AlternateContent>
  <xr:revisionPtr revIDLastSave="0" documentId="8_{CC0C7B69-219E-4C9E-91A8-4F724A8114B9}" xr6:coauthVersionLast="47" xr6:coauthVersionMax="47" xr10:uidLastSave="{00000000-0000-0000-0000-000000000000}"/>
  <bookViews>
    <workbookView xWindow="-110" yWindow="-110" windowWidth="19420" windowHeight="11500" activeTab="1" xr2:uid="{96F322C0-E8EC-48D2-BDF2-F33601F871C5}"/>
  </bookViews>
  <sheets>
    <sheet name="Guidance" sheetId="6" r:id="rId1"/>
    <sheet name="Uncertainties_estimation" sheetId="3" r:id="rId2"/>
    <sheet name="Uncertainties_sources" sheetId="5" r:id="rId3"/>
    <sheet name="Setup_tables" sheetId="2" r:id="rId4"/>
  </sheets>
  <definedNames>
    <definedName name="LSPM_MM">Setup_tables!$D$7:$D$13</definedName>
    <definedName name="LSPM_SM">Setup_tables!$E$7:$E$13</definedName>
    <definedName name="LSPMMM">Setup_tables!$H$7:$H$14</definedName>
    <definedName name="LSPMSM">Setup_tables!$I$7:$I$14</definedName>
    <definedName name="OTDR_SM">Setup_tables!$F$7:$F$13</definedName>
    <definedName name="OTDRSM">Setup_tables!$J$7:$J$14</definedName>
    <definedName name="_xlnm.Print_Area" localSheetId="0">Guidance!$A$1:$D$58</definedName>
    <definedName name="_xlnm.Print_Area" localSheetId="1">Uncertainties_estimation!$B$2:$L$20</definedName>
    <definedName name="_xlnm.Print_Area" localSheetId="2">Uncertainties_sources!$B$2:$M$63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 l="1"/>
  <c r="J10" i="3"/>
  <c r="B3" i="3"/>
  <c r="G9" i="5"/>
  <c r="F12" i="3"/>
  <c r="E12" i="3"/>
  <c r="F9" i="3" l="1"/>
  <c r="H22" i="5" l="1"/>
  <c r="G22" i="5" s="1"/>
  <c r="H17" i="5"/>
  <c r="G17" i="5" s="1"/>
  <c r="H7" i="5"/>
  <c r="G7" i="5" s="1"/>
  <c r="I7" i="5"/>
  <c r="G16" i="5"/>
  <c r="H16" i="5" s="1"/>
  <c r="G6" i="5"/>
  <c r="I18" i="5" l="1"/>
  <c r="G18" i="5"/>
  <c r="I19" i="5"/>
  <c r="G19" i="5"/>
  <c r="I31" i="5"/>
  <c r="G31" i="5"/>
  <c r="I27" i="5"/>
  <c r="G27" i="5"/>
  <c r="I26" i="5"/>
  <c r="G26" i="5"/>
  <c r="A60" i="5"/>
  <c r="A61" i="5" s="1"/>
  <c r="A55" i="5"/>
  <c r="A56" i="5" s="1"/>
  <c r="A57" i="5" s="1"/>
  <c r="A58" i="5" s="1"/>
  <c r="A59" i="5" s="1"/>
  <c r="B9" i="3"/>
  <c r="B8" i="3"/>
  <c r="C45" i="3" l="1"/>
  <c r="B45" i="3" s="1"/>
  <c r="C40" i="3"/>
  <c r="B40" i="3" s="1"/>
  <c r="C38" i="3"/>
  <c r="B38" i="3" s="1"/>
  <c r="C39" i="3"/>
  <c r="B39" i="3" s="1"/>
  <c r="C46" i="3"/>
  <c r="B46" i="3" s="1"/>
  <c r="A62" i="5"/>
  <c r="A63" i="5" s="1"/>
  <c r="C47" i="3" l="1"/>
  <c r="B47" i="3" s="1"/>
  <c r="C48" i="3"/>
  <c r="B48" i="3" s="1"/>
  <c r="I45" i="3" l="1"/>
  <c r="F45" i="3"/>
  <c r="F47" i="3"/>
  <c r="H47" i="3"/>
  <c r="E47" i="3"/>
  <c r="D47" i="3"/>
  <c r="I47" i="3"/>
  <c r="E48" i="3"/>
  <c r="D48" i="3"/>
  <c r="H48" i="3"/>
  <c r="F48" i="3"/>
  <c r="I48" i="3"/>
  <c r="G48" i="3"/>
  <c r="E45" i="3"/>
  <c r="D45" i="3"/>
  <c r="F46" i="3"/>
  <c r="D46" i="3"/>
  <c r="I46" i="3"/>
  <c r="E46" i="3"/>
  <c r="J48" i="3" l="1"/>
  <c r="L48" i="3" s="1"/>
  <c r="K48" i="3" l="1"/>
  <c r="I22" i="5"/>
  <c r="I21" i="5"/>
  <c r="I20" i="5"/>
  <c r="I17" i="5"/>
  <c r="I16" i="5"/>
  <c r="I23" i="5"/>
  <c r="B7" i="3" l="1"/>
  <c r="H29" i="5"/>
  <c r="H24" i="5"/>
  <c r="H28" i="5"/>
  <c r="H23" i="5"/>
  <c r="G30" i="5"/>
  <c r="G47" i="3" s="1"/>
  <c r="J47" i="3" s="1"/>
  <c r="G25" i="5"/>
  <c r="G8" i="5"/>
  <c r="G12" i="5"/>
  <c r="H5" i="5"/>
  <c r="K47" i="3" l="1"/>
  <c r="L47" i="3"/>
  <c r="G15" i="5"/>
  <c r="A37" i="5" l="1"/>
  <c r="A38" i="5" l="1"/>
  <c r="A39" i="5" s="1"/>
  <c r="A40" i="5" s="1"/>
  <c r="A41" i="5" s="1"/>
  <c r="A42" i="5" s="1"/>
  <c r="A43" i="5" s="1"/>
  <c r="A44" i="5" s="1"/>
  <c r="A45" i="5" s="1"/>
  <c r="A46" i="5" s="1"/>
  <c r="A47" i="5" s="1"/>
  <c r="A48" i="5" s="1"/>
  <c r="A49" i="5" s="1"/>
  <c r="A50" i="5" s="1"/>
  <c r="C24" i="3" l="1"/>
  <c r="B24" i="3" s="1"/>
  <c r="C25" i="3"/>
  <c r="B25" i="3" s="1"/>
  <c r="A51" i="5"/>
  <c r="C26" i="3" l="1"/>
  <c r="B26" i="3" s="1"/>
  <c r="I25" i="3"/>
  <c r="A52" i="5"/>
  <c r="I24" i="3"/>
  <c r="H24" i="3"/>
  <c r="E26" i="3"/>
  <c r="F24" i="3"/>
  <c r="E24" i="3"/>
  <c r="D24" i="3"/>
  <c r="F25" i="3"/>
  <c r="E25" i="3"/>
  <c r="D25" i="3"/>
  <c r="I26" i="3" l="1"/>
  <c r="F26" i="3"/>
  <c r="D26" i="3"/>
  <c r="G26" i="3"/>
  <c r="C27" i="3"/>
  <c r="B27" i="3" s="1"/>
  <c r="A53" i="5"/>
  <c r="A54" i="5" s="1"/>
  <c r="C33" i="3" s="1"/>
  <c r="B33" i="3" s="1"/>
  <c r="F40" i="3"/>
  <c r="D40" i="3"/>
  <c r="G40" i="3"/>
  <c r="H40" i="3"/>
  <c r="E40" i="3"/>
  <c r="I40" i="3"/>
  <c r="C30" i="3" l="1"/>
  <c r="B30" i="3" s="1"/>
  <c r="C29" i="3"/>
  <c r="B29" i="3" s="1"/>
  <c r="C28" i="3"/>
  <c r="B28" i="3" s="1"/>
  <c r="C31" i="3"/>
  <c r="B31" i="3" s="1"/>
  <c r="C32" i="3"/>
  <c r="B32" i="3" s="1"/>
  <c r="F27" i="3"/>
  <c r="F33" i="3"/>
  <c r="I39" i="3"/>
  <c r="F39" i="3"/>
  <c r="E39" i="3"/>
  <c r="D39" i="3"/>
  <c r="H39" i="3"/>
  <c r="F38" i="3"/>
  <c r="D38" i="3"/>
  <c r="I38" i="3"/>
  <c r="E38" i="3"/>
  <c r="J40" i="3"/>
  <c r="L40" i="3" s="1"/>
  <c r="F32" i="3" l="1"/>
  <c r="I29" i="3"/>
  <c r="D29" i="3"/>
  <c r="E29" i="3"/>
  <c r="D28" i="3"/>
  <c r="I30" i="3"/>
  <c r="F29" i="3"/>
  <c r="I31" i="3"/>
  <c r="D30" i="3"/>
  <c r="F31" i="3"/>
  <c r="E30" i="3"/>
  <c r="D31" i="3"/>
  <c r="E31" i="3"/>
  <c r="F30" i="3"/>
  <c r="E27" i="3"/>
  <c r="E33" i="3"/>
  <c r="G32" i="3"/>
  <c r="H33" i="3"/>
  <c r="D33" i="3"/>
  <c r="I33" i="3"/>
  <c r="G33" i="3"/>
  <c r="D27" i="3"/>
  <c r="I27" i="3"/>
  <c r="E32" i="3"/>
  <c r="I32" i="3"/>
  <c r="H32" i="3"/>
  <c r="D32" i="3"/>
  <c r="E28" i="3"/>
  <c r="I28" i="3"/>
  <c r="F28" i="3"/>
  <c r="K40" i="3"/>
  <c r="J32" i="3" l="1"/>
  <c r="K32" i="3" s="1"/>
  <c r="J33" i="3"/>
  <c r="L33" i="3" s="1"/>
  <c r="K33" i="3" l="1"/>
  <c r="L32" i="3"/>
  <c r="N11" i="5"/>
  <c r="N9" i="5"/>
  <c r="H30" i="5"/>
  <c r="G29" i="5"/>
  <c r="G46" i="3" s="1"/>
  <c r="G28" i="5"/>
  <c r="G45" i="3" s="1"/>
  <c r="H25" i="5"/>
  <c r="G24" i="5"/>
  <c r="G39" i="3" s="1"/>
  <c r="J39" i="3" s="1"/>
  <c r="G23" i="5"/>
  <c r="G38" i="3" s="1"/>
  <c r="H15" i="5"/>
  <c r="G13" i="5"/>
  <c r="H12" i="5"/>
  <c r="H9" i="5"/>
  <c r="J8" i="5"/>
  <c r="H8" i="5"/>
  <c r="G5" i="5"/>
  <c r="G24" i="3" s="1"/>
  <c r="J24" i="3" s="1"/>
  <c r="I30" i="5"/>
  <c r="I29" i="5"/>
  <c r="H46" i="3" s="1"/>
  <c r="I28" i="5"/>
  <c r="H45" i="3" s="1"/>
  <c r="I25" i="5"/>
  <c r="H38" i="3" s="1"/>
  <c r="I24" i="5"/>
  <c r="I14" i="5"/>
  <c r="H31" i="3" s="1"/>
  <c r="H14" i="5"/>
  <c r="I13" i="5"/>
  <c r="H30" i="3" s="1"/>
  <c r="I12" i="5"/>
  <c r="H29" i="3" s="1"/>
  <c r="I11" i="5"/>
  <c r="H28" i="3" s="1"/>
  <c r="H11" i="5"/>
  <c r="I10" i="5"/>
  <c r="H27" i="3" s="1"/>
  <c r="G10" i="5"/>
  <c r="I9" i="5"/>
  <c r="H26" i="3" s="1"/>
  <c r="J26" i="3" s="1"/>
  <c r="I8" i="5"/>
  <c r="I6" i="5"/>
  <c r="H25" i="3" s="1"/>
  <c r="P5" i="5"/>
  <c r="N6" i="5" s="1"/>
  <c r="K26" i="3" l="1"/>
  <c r="L26" i="3"/>
  <c r="J38" i="3"/>
  <c r="L38" i="3" s="1"/>
  <c r="J46" i="3"/>
  <c r="K46" i="3" s="1"/>
  <c r="J45" i="3"/>
  <c r="L45" i="3" s="1"/>
  <c r="G29" i="3"/>
  <c r="J29" i="3" s="1"/>
  <c r="K29" i="3" s="1"/>
  <c r="G31" i="3"/>
  <c r="J31" i="3" s="1"/>
  <c r="K24" i="3"/>
  <c r="L24" i="3"/>
  <c r="H13" i="5"/>
  <c r="G30" i="3"/>
  <c r="J30" i="3" s="1"/>
  <c r="L39" i="3"/>
  <c r="K39" i="3"/>
  <c r="H6" i="5"/>
  <c r="G25" i="3"/>
  <c r="J25" i="3" s="1"/>
  <c r="E9" i="3"/>
  <c r="N15" i="3"/>
  <c r="N13" i="3"/>
  <c r="E6" i="3"/>
  <c r="E7" i="3"/>
  <c r="K38" i="3" l="1"/>
  <c r="L46" i="3"/>
  <c r="L49" i="3" s="1"/>
  <c r="E20" i="3"/>
  <c r="J20" i="3" s="1"/>
  <c r="K45" i="3"/>
  <c r="K49" i="3" s="1"/>
  <c r="C9" i="3" s="1"/>
  <c r="D9" i="3" s="1"/>
  <c r="L29" i="3"/>
  <c r="K31" i="3"/>
  <c r="L31" i="3"/>
  <c r="J21" i="5"/>
  <c r="H20" i="5"/>
  <c r="G20" i="5" s="1"/>
  <c r="G27" i="3" s="1"/>
  <c r="J27" i="3" s="1"/>
  <c r="K27" i="3" s="1"/>
  <c r="J20" i="5"/>
  <c r="H21" i="5"/>
  <c r="G21" i="5" s="1"/>
  <c r="G28" i="3" s="1"/>
  <c r="J28" i="3" s="1"/>
  <c r="L28" i="3" s="1"/>
  <c r="L30" i="3"/>
  <c r="K30" i="3"/>
  <c r="L41" i="3"/>
  <c r="K41" i="3"/>
  <c r="K25" i="3"/>
  <c r="L25" i="3"/>
  <c r="K28" i="3" l="1"/>
  <c r="K34" i="3" s="1"/>
  <c r="C7" i="3" s="1"/>
  <c r="D7" i="3" s="1"/>
  <c r="L27" i="3"/>
  <c r="L34" i="3" s="1"/>
  <c r="B15" i="3"/>
  <c r="C8" i="3"/>
  <c r="D8" i="3" s="1"/>
  <c r="D15" i="3"/>
  <c r="C15" i="3"/>
  <c r="D10" i="3" l="1"/>
  <c r="L53" i="3" s="1"/>
  <c r="D11" i="3" l="1"/>
  <c r="D12" i="3" s="1"/>
  <c r="D13" i="3" s="1"/>
  <c r="D14" i="3" s="1"/>
</calcChain>
</file>

<file path=xl/sharedStrings.xml><?xml version="1.0" encoding="utf-8"?>
<sst xmlns="http://schemas.openxmlformats.org/spreadsheetml/2006/main" count="572" uniqueCount="280">
  <si>
    <t>SM-1 cord</t>
  </si>
  <si>
    <t>SM-2 cords</t>
  </si>
  <si>
    <t>SM-3 cords</t>
  </si>
  <si>
    <t>14763-3 SM Ch.</t>
  </si>
  <si>
    <t>14763-3 SM Link</t>
  </si>
  <si>
    <t>MM-1 cord</t>
  </si>
  <si>
    <t>MM-2 cords</t>
  </si>
  <si>
    <t>MM-3 cords</t>
  </si>
  <si>
    <t>14763-3 MM Ch.</t>
  </si>
  <si>
    <t>14763-3 MM Link</t>
  </si>
  <si>
    <t>SM-1 cord PON</t>
  </si>
  <si>
    <t>Nb Splitters</t>
  </si>
  <si>
    <t>Nb of OPM</t>
  </si>
  <si>
    <t>Min Att dB/km</t>
  </si>
  <si>
    <t>Lambda min</t>
  </si>
  <si>
    <t>Lambda max</t>
  </si>
  <si>
    <t>True</t>
  </si>
  <si>
    <t>False</t>
  </si>
  <si>
    <t>IEC 61280-4-3 Ed1 Annex A</t>
  </si>
  <si>
    <t>IEC 61280-4-3 Ed1 Annex B</t>
  </si>
  <si>
    <t>IEC 61280-4-3 Ed1 Annex C</t>
  </si>
  <si>
    <t>IEC 61280-4-1 Ed3 Annex A</t>
  </si>
  <si>
    <t>LSPM-MM</t>
  </si>
  <si>
    <t>LSPM-SM</t>
  </si>
  <si>
    <t>OTDR-SM</t>
  </si>
  <si>
    <t>Measurement Conditions :</t>
  </si>
  <si>
    <t>Method:</t>
  </si>
  <si>
    <t>Type of connectors:</t>
  </si>
  <si>
    <t>Number of spliters:</t>
  </si>
  <si>
    <t>nm</t>
  </si>
  <si>
    <t>Uncertainty of wavelength knowledge:</t>
  </si>
  <si>
    <t>Measured attenuation:</t>
  </si>
  <si>
    <t>dB</t>
  </si>
  <si>
    <t>km</t>
  </si>
  <si>
    <t>Total relative uncertainty</t>
  </si>
  <si>
    <t>%</t>
  </si>
  <si>
    <t>OTDR, Dynamic margin:</t>
  </si>
  <si>
    <t>Noise amplitude (pk to pk)</t>
  </si>
  <si>
    <t>OTDR, Regression length:</t>
  </si>
  <si>
    <t>m</t>
  </si>
  <si>
    <t>OTDR, Distance between points:</t>
  </si>
  <si>
    <t>Number of regression points</t>
  </si>
  <si>
    <t>Number of OPM used:</t>
  </si>
  <si>
    <t>Source output power instability:</t>
  </si>
  <si>
    <t>Source output power:</t>
  </si>
  <si>
    <t>dBm</t>
  </si>
  <si>
    <t>Valid measurement conditions:</t>
  </si>
  <si>
    <t>Relative uncertainties due to mating reproducibility</t>
  </si>
  <si>
    <t>Relative uncertainty related to the repeatability of the test cord connector mating to cabling connectors</t>
  </si>
  <si>
    <t>Measurement device - Fibre type:</t>
  </si>
  <si>
    <t>OTDR</t>
  </si>
  <si>
    <t>OTDR PON</t>
  </si>
  <si>
    <t>Filtered OTDR</t>
  </si>
  <si>
    <t>Device/ fibre type</t>
  </si>
  <si>
    <t>PC</t>
  </si>
  <si>
    <t>APC</t>
  </si>
  <si>
    <r>
      <t>R</t>
    </r>
    <r>
      <rPr>
        <vertAlign val="subscript"/>
        <sz val="11"/>
        <color theme="1"/>
        <rFont val="Calibri"/>
        <family val="2"/>
        <scheme val="minor"/>
      </rPr>
      <t>s1</t>
    </r>
    <r>
      <rPr>
        <sz val="11"/>
        <color theme="1"/>
        <rFont val="Calibri"/>
        <family val="2"/>
        <scheme val="minor"/>
      </rPr>
      <t xml:space="preserve"> PC</t>
    </r>
  </si>
  <si>
    <r>
      <t>R</t>
    </r>
    <r>
      <rPr>
        <vertAlign val="subscript"/>
        <sz val="11"/>
        <color theme="1"/>
        <rFont val="Calibri"/>
        <family val="2"/>
        <scheme val="minor"/>
      </rPr>
      <t>s1</t>
    </r>
    <r>
      <rPr>
        <sz val="11"/>
        <color theme="1"/>
        <rFont val="Calibri"/>
        <family val="2"/>
        <scheme val="minor"/>
      </rPr>
      <t xml:space="preserve"> APC</t>
    </r>
  </si>
  <si>
    <r>
      <t>R</t>
    </r>
    <r>
      <rPr>
        <vertAlign val="subscript"/>
        <sz val="11"/>
        <color theme="1"/>
        <rFont val="Calibri"/>
        <family val="2"/>
        <scheme val="minor"/>
      </rPr>
      <t>m 1</t>
    </r>
  </si>
  <si>
    <t>Device</t>
  </si>
  <si>
    <t>OPM</t>
  </si>
  <si>
    <t>PC grade C</t>
  </si>
  <si>
    <t>APC grade C</t>
  </si>
  <si>
    <r>
      <t>R</t>
    </r>
    <r>
      <rPr>
        <vertAlign val="subscript"/>
        <sz val="11"/>
        <color theme="1"/>
        <rFont val="Calibri"/>
        <family val="2"/>
        <scheme val="minor"/>
      </rPr>
      <t>m 12</t>
    </r>
  </si>
  <si>
    <r>
      <t>R</t>
    </r>
    <r>
      <rPr>
        <vertAlign val="subscript"/>
        <sz val="11"/>
        <color theme="1"/>
        <rFont val="Calibri"/>
        <family val="2"/>
        <scheme val="minor"/>
      </rPr>
      <t>m 16</t>
    </r>
  </si>
  <si>
    <r>
      <t>R</t>
    </r>
    <r>
      <rPr>
        <vertAlign val="subscript"/>
        <sz val="11"/>
        <color theme="1"/>
        <rFont val="Calibri"/>
        <family val="2"/>
        <scheme val="minor"/>
      </rPr>
      <t>m 16A</t>
    </r>
  </si>
  <si>
    <r>
      <t>R</t>
    </r>
    <r>
      <rPr>
        <vertAlign val="subscript"/>
        <sz val="11"/>
        <color theme="1"/>
        <rFont val="Calibri"/>
        <family val="2"/>
        <scheme val="minor"/>
      </rPr>
      <t>m 24</t>
    </r>
  </si>
  <si>
    <r>
      <t>R</t>
    </r>
    <r>
      <rPr>
        <vertAlign val="subscript"/>
        <sz val="11"/>
        <color theme="1"/>
        <rFont val="Calibri"/>
        <family val="2"/>
        <scheme val="minor"/>
      </rPr>
      <t>s12</t>
    </r>
    <r>
      <rPr>
        <sz val="11"/>
        <color theme="1"/>
        <rFont val="Calibri"/>
        <family val="2"/>
        <scheme val="minor"/>
      </rPr>
      <t xml:space="preserve"> APC</t>
    </r>
  </si>
  <si>
    <r>
      <t>R</t>
    </r>
    <r>
      <rPr>
        <b/>
        <vertAlign val="subscript"/>
        <sz val="11"/>
        <color theme="3"/>
        <rFont val="Calibri"/>
        <family val="2"/>
        <scheme val="minor"/>
      </rPr>
      <t>m 1</t>
    </r>
  </si>
  <si>
    <r>
      <t>R</t>
    </r>
    <r>
      <rPr>
        <b/>
        <vertAlign val="subscript"/>
        <sz val="11"/>
        <color theme="3"/>
        <rFont val="Calibri"/>
        <family val="2"/>
        <scheme val="minor"/>
      </rPr>
      <t>m 12</t>
    </r>
  </si>
  <si>
    <r>
      <t>R</t>
    </r>
    <r>
      <rPr>
        <b/>
        <vertAlign val="subscript"/>
        <sz val="11"/>
        <color theme="3"/>
        <rFont val="Calibri"/>
        <family val="2"/>
        <scheme val="minor"/>
      </rPr>
      <t>m 16</t>
    </r>
  </si>
  <si>
    <r>
      <t>R</t>
    </r>
    <r>
      <rPr>
        <b/>
        <vertAlign val="subscript"/>
        <sz val="11"/>
        <color theme="3"/>
        <rFont val="Calibri"/>
        <family val="2"/>
        <scheme val="minor"/>
      </rPr>
      <t>m 16A</t>
    </r>
  </si>
  <si>
    <r>
      <t>R</t>
    </r>
    <r>
      <rPr>
        <b/>
        <vertAlign val="subscript"/>
        <sz val="11"/>
        <color theme="3"/>
        <rFont val="Calibri"/>
        <family val="2"/>
        <scheme val="minor"/>
      </rPr>
      <t>m 24</t>
    </r>
  </si>
  <si>
    <r>
      <t>R</t>
    </r>
    <r>
      <rPr>
        <b/>
        <vertAlign val="subscript"/>
        <sz val="11"/>
        <color theme="3"/>
        <rFont val="Calibri"/>
        <family val="2"/>
        <scheme val="minor"/>
      </rPr>
      <t>s1</t>
    </r>
    <r>
      <rPr>
        <b/>
        <sz val="11"/>
        <color theme="3"/>
        <rFont val="Calibri"/>
        <family val="2"/>
        <scheme val="minor"/>
      </rPr>
      <t xml:space="preserve"> PC</t>
    </r>
  </si>
  <si>
    <r>
      <t>R</t>
    </r>
    <r>
      <rPr>
        <b/>
        <vertAlign val="subscript"/>
        <sz val="11"/>
        <color theme="3"/>
        <rFont val="Calibri"/>
        <family val="2"/>
        <scheme val="minor"/>
      </rPr>
      <t>s1</t>
    </r>
    <r>
      <rPr>
        <b/>
        <sz val="11"/>
        <color theme="3"/>
        <rFont val="Calibri"/>
        <family val="2"/>
        <scheme val="minor"/>
      </rPr>
      <t xml:space="preserve"> APC</t>
    </r>
  </si>
  <si>
    <r>
      <t>R</t>
    </r>
    <r>
      <rPr>
        <b/>
        <vertAlign val="subscript"/>
        <sz val="11"/>
        <color theme="3"/>
        <rFont val="Calibri"/>
        <family val="2"/>
        <scheme val="minor"/>
      </rPr>
      <t>s12</t>
    </r>
    <r>
      <rPr>
        <b/>
        <sz val="11"/>
        <color theme="3"/>
        <rFont val="Calibri"/>
        <family val="2"/>
        <scheme val="minor"/>
      </rPr>
      <t xml:space="preserve"> APC</t>
    </r>
  </si>
  <si>
    <t>Table 1</t>
  </si>
  <si>
    <t>Table 2</t>
  </si>
  <si>
    <t>Table 3</t>
  </si>
  <si>
    <t>Table 4</t>
  </si>
  <si>
    <t>Table 5</t>
  </si>
  <si>
    <t>Source of uncertainty</t>
  </si>
  <si>
    <t>Type of uncertainty</t>
  </si>
  <si>
    <t>Units</t>
  </si>
  <si>
    <t>Dist. 
(n sigma)</t>
  </si>
  <si>
    <t>Distr. 
Coeff.</t>
  </si>
  <si>
    <t>Reference</t>
  </si>
  <si>
    <t>n</t>
  </si>
  <si>
    <t>Comments</t>
  </si>
  <si>
    <t>5.2.5.1</t>
  </si>
  <si>
    <t xml:space="preserve">Relative uncertainty arising from the instability of the optical source </t>
  </si>
  <si>
    <t>B or A</t>
  </si>
  <si>
    <t>Rectangular (1)</t>
  </si>
  <si>
    <t>Assume two times Equ C2 is used.</t>
  </si>
  <si>
    <t>Relative attenuation uncertainty arising from the uncertainty of the optical source wavelength</t>
  </si>
  <si>
    <t>B</t>
  </si>
  <si>
    <t>Normal (2)</t>
  </si>
  <si>
    <t>See C.2.4</t>
  </si>
  <si>
    <t>Domain (nm)</t>
  </si>
  <si>
    <t>a0</t>
  </si>
  <si>
    <t>a1</t>
  </si>
  <si>
    <t>a2</t>
  </si>
  <si>
    <t>a3</t>
  </si>
  <si>
    <t>a4</t>
  </si>
  <si>
    <t>a5</t>
  </si>
  <si>
    <t>a6</t>
  </si>
  <si>
    <t>5.2.5.3</t>
  </si>
  <si>
    <t>Relative uncertainty due to the multimode launch condition</t>
  </si>
  <si>
    <t>See C.2.6</t>
  </si>
  <si>
    <t>MM A1</t>
  </si>
  <si>
    <t>800 to 1350 nm</t>
  </si>
  <si>
    <t>5.2.5.4</t>
  </si>
  <si>
    <t>Relative uncertainty arising from the non-linearity of the power meter</t>
  </si>
  <si>
    <t>SM B1.3</t>
  </si>
  <si>
    <t>1285 to 1385 nm</t>
  </si>
  <si>
    <t>5.2.5.5</t>
  </si>
  <si>
    <t xml:space="preserve">Relative uncertainty arising from the finite display resolution of power meter </t>
  </si>
  <si>
    <t>0.005 dB</t>
  </si>
  <si>
    <t>1385 to 1675 nm</t>
  </si>
  <si>
    <t>5.2.5.6</t>
  </si>
  <si>
    <t xml:space="preserve">Relative uncertainty arising from power meter spatial sensitivity. </t>
  </si>
  <si>
    <t>0 it is assumed note 2 apply all time</t>
  </si>
  <si>
    <t>5.2.6.7</t>
  </si>
  <si>
    <t xml:space="preserve">Relative uncertainty arising from the polarization dependency of power meter </t>
  </si>
  <si>
    <t>0.01 dB APC; 0.005 dB PC</t>
  </si>
  <si>
    <t>5.2.5.8</t>
  </si>
  <si>
    <t xml:space="preserve">Relative uncertainty arising from power meter noise </t>
  </si>
  <si>
    <t>See C.2.2 100 pW noise</t>
  </si>
  <si>
    <t>5.2.5.9</t>
  </si>
  <si>
    <t>Relative uncertainty arising from power meter instability</t>
  </si>
  <si>
    <t>5.2.5.10</t>
  </si>
  <si>
    <t xml:space="preserve">Relative uncertainties of the absolute power measurements </t>
  </si>
  <si>
    <t>5.2.6.1</t>
  </si>
  <si>
    <t xml:space="preserve"> </t>
  </si>
  <si>
    <t>5.2.6.2</t>
  </si>
  <si>
    <t>Relative uncertainty related to the repeatability of the test cord connector mating.</t>
  </si>
  <si>
    <t>5.2.6.3</t>
  </si>
  <si>
    <t>Relative uncertainty related to the PDL of the test cord APC connectors.</t>
  </si>
  <si>
    <t>0.018 dB if applicable. C.2.7 &amp; note 4</t>
  </si>
  <si>
    <t>5.2.7.1</t>
  </si>
  <si>
    <t>5.2.7.2</t>
  </si>
  <si>
    <t>5.2.7.3</t>
  </si>
  <si>
    <t>Relative uncertainty related to the PDL of the cabling APC connectors</t>
  </si>
  <si>
    <t>Single Mode</t>
  </si>
  <si>
    <t>Multimode</t>
  </si>
  <si>
    <t>Sensibility coefficients (ci)</t>
  </si>
  <si>
    <t>Relative uncertainty arising from power meter spatial sensitivity</t>
  </si>
  <si>
    <t>Relative uncertainty related to the repeatability of the test cord connector mating</t>
  </si>
  <si>
    <t>Relative uncertainty related to the PDL of the test cord APC connectors</t>
  </si>
  <si>
    <r>
      <t xml:space="preserve">Exp factor k, if </t>
    </r>
    <r>
      <rPr>
        <b/>
        <sz val="10"/>
        <color theme="1"/>
        <rFont val="Symbol"/>
        <family val="1"/>
        <charset val="2"/>
      </rPr>
      <t>n</t>
    </r>
    <r>
      <rPr>
        <b/>
        <vertAlign val="subscript"/>
        <sz val="10"/>
        <color theme="1"/>
        <rFont val="Arial"/>
        <family val="2"/>
      </rPr>
      <t>eff</t>
    </r>
    <r>
      <rPr>
        <b/>
        <sz val="10"/>
        <color theme="1"/>
        <rFont val="Arial"/>
        <family val="2"/>
      </rPr>
      <t xml:space="preserve"> &lt;50 k = Student's t for </t>
    </r>
    <r>
      <rPr>
        <b/>
        <sz val="10"/>
        <color theme="1"/>
        <rFont val="Symbol"/>
        <family val="1"/>
        <charset val="2"/>
      </rPr>
      <t>n</t>
    </r>
    <r>
      <rPr>
        <b/>
        <vertAlign val="subscript"/>
        <sz val="10"/>
        <color theme="1"/>
        <rFont val="Arial"/>
        <family val="2"/>
      </rPr>
      <t xml:space="preserve">eff </t>
    </r>
    <r>
      <rPr>
        <b/>
        <sz val="10"/>
        <color theme="1"/>
        <rFont val="Arial"/>
        <family val="2"/>
      </rPr>
      <t>and CL 95% otherwise k=2</t>
    </r>
  </si>
  <si>
    <r>
      <t>u</t>
    </r>
    <r>
      <rPr>
        <b/>
        <i/>
        <vertAlign val="subscript"/>
        <sz val="10"/>
        <color rgb="FF000080"/>
        <rFont val="Arial"/>
        <family val="2"/>
      </rPr>
      <t>i</t>
    </r>
  </si>
  <si>
    <r>
      <t>(</t>
    </r>
    <r>
      <rPr>
        <b/>
        <i/>
        <sz val="10"/>
        <color rgb="FF000080"/>
        <rFont val="Arial"/>
        <family val="2"/>
      </rPr>
      <t>u</t>
    </r>
    <r>
      <rPr>
        <b/>
        <i/>
        <vertAlign val="subscript"/>
        <sz val="10"/>
        <color rgb="FF000080"/>
        <rFont val="Arial"/>
        <family val="2"/>
      </rPr>
      <t>i</t>
    </r>
    <r>
      <rPr>
        <b/>
        <sz val="10"/>
        <color rgb="FF000080"/>
        <rFont val="Arial"/>
        <family val="2"/>
      </rPr>
      <t>)</t>
    </r>
    <r>
      <rPr>
        <b/>
        <vertAlign val="superscript"/>
        <sz val="10"/>
        <color rgb="FF000080"/>
        <rFont val="Arial"/>
        <family val="2"/>
      </rPr>
      <t>2</t>
    </r>
  </si>
  <si>
    <t>Uncertainties due to measuring instruments</t>
  </si>
  <si>
    <t>Standard 
uncertainty
component u(xi)</t>
  </si>
  <si>
    <t>U (%)</t>
  </si>
  <si>
    <t>Sensitivity coefficient ci</t>
  </si>
  <si>
    <r>
      <t>u(x</t>
    </r>
    <r>
      <rPr>
        <b/>
        <i/>
        <vertAlign val="subscript"/>
        <sz val="10"/>
        <color rgb="FF000080"/>
        <rFont val="Arial"/>
        <family val="2"/>
      </rPr>
      <t>i</t>
    </r>
    <r>
      <rPr>
        <b/>
        <i/>
        <sz val="10"/>
        <color rgb="FF000080"/>
        <rFont val="Arial"/>
        <family val="2"/>
      </rPr>
      <t>)</t>
    </r>
  </si>
  <si>
    <r>
      <t>(</t>
    </r>
    <r>
      <rPr>
        <b/>
        <i/>
        <sz val="10"/>
        <color rgb="FF000080"/>
        <rFont val="Arial"/>
        <family val="2"/>
      </rPr>
      <t>u(xi)</t>
    </r>
    <r>
      <rPr>
        <b/>
        <sz val="10"/>
        <color rgb="FF000080"/>
        <rFont val="Arial"/>
        <family val="2"/>
      </rPr>
      <t>)</t>
    </r>
    <r>
      <rPr>
        <b/>
        <vertAlign val="superscript"/>
        <sz val="10"/>
        <color rgb="FF000080"/>
        <rFont val="Arial"/>
        <family val="2"/>
      </rPr>
      <t>2</t>
    </r>
  </si>
  <si>
    <r>
      <t xml:space="preserve">(ci </t>
    </r>
    <r>
      <rPr>
        <b/>
        <i/>
        <sz val="10"/>
        <color rgb="FF000080"/>
        <rFont val="Arial"/>
        <family val="2"/>
      </rPr>
      <t>u(xi)</t>
    </r>
    <r>
      <rPr>
        <b/>
        <sz val="10"/>
        <color rgb="FF000080"/>
        <rFont val="Arial"/>
        <family val="2"/>
      </rPr>
      <t>)</t>
    </r>
    <r>
      <rPr>
        <b/>
        <vertAlign val="superscript"/>
        <sz val="10"/>
        <color rgb="FF000080"/>
        <rFont val="Arial"/>
        <family val="2"/>
      </rPr>
      <t>4</t>
    </r>
    <r>
      <rPr>
        <b/>
        <sz val="10"/>
        <color rgb="FF000080"/>
        <rFont val="Arial"/>
        <family val="2"/>
      </rPr>
      <t>/</t>
    </r>
    <r>
      <rPr>
        <b/>
        <sz val="10"/>
        <color rgb="FF000080"/>
        <rFont val="Symbol"/>
        <family val="1"/>
        <charset val="2"/>
      </rPr>
      <t>n</t>
    </r>
    <r>
      <rPr>
        <b/>
        <sz val="10"/>
        <color rgb="FF000080"/>
        <rFont val="Arial"/>
        <family val="2"/>
      </rPr>
      <t>i</t>
    </r>
  </si>
  <si>
    <t>Relative uncertainty arising from the non-linearity of the OTDR.</t>
  </si>
  <si>
    <t>Relative uncertainty arising from the finite display resolution of OTDR</t>
  </si>
  <si>
    <t>Relative uncertainty arising from OTDR noise. (tail regression)</t>
  </si>
  <si>
    <t>A or B</t>
  </si>
  <si>
    <t>Relative uncertainty arising from OTDR noise. (launch regression)</t>
  </si>
  <si>
    <t xml:space="preserve">Relative uncertainty arising from OTDR cursors placement. </t>
  </si>
  <si>
    <t>Relative uncertainty due to the setup</t>
  </si>
  <si>
    <t>Relative attenuation uncertainty arising from the remaining difference of backscatter coefficient between the lunch and the tail cable</t>
  </si>
  <si>
    <t>Relative attenuation uncertainty arising from the difference of backscatter coefficient</t>
  </si>
  <si>
    <t>Relative uncertainties due to cabling</t>
  </si>
  <si>
    <t>Relative uncertainty related to the PDL of the cabling splitter</t>
  </si>
  <si>
    <t>Effective degrees of freedom</t>
  </si>
  <si>
    <r>
      <rPr>
        <sz val="10"/>
        <color rgb="FF000080"/>
        <rFont val="Symbol"/>
        <family val="1"/>
        <charset val="2"/>
      </rPr>
      <t>n</t>
    </r>
    <r>
      <rPr>
        <vertAlign val="subscript"/>
        <sz val="10"/>
        <color rgb="FF000080"/>
        <rFont val="Arial"/>
        <family val="2"/>
      </rPr>
      <t>eff</t>
    </r>
  </si>
  <si>
    <t>5.2.5.2a</t>
  </si>
  <si>
    <t>5.2.5.2b</t>
  </si>
  <si>
    <t>OTDR dB scale resolution set to 0,001 dB</t>
  </si>
  <si>
    <t>5.2.5.12</t>
  </si>
  <si>
    <t>5.2.5.13</t>
  </si>
  <si>
    <t>5.2.5.15</t>
  </si>
  <si>
    <t>Uncertainty arising from the uncertainty of the optical source wavelength and the PON splitter wavelength dependence</t>
  </si>
  <si>
    <t>Relative attenuation uncertainty arising from the uncertainty of the OTDR wavelength and the fibre wavelength dependence</t>
  </si>
  <si>
    <t>Relative attenuation uncertainty arising from the uncertainty of the OTDR wavelength and the PON splitter wavelength dependence</t>
  </si>
  <si>
    <t>5.2.5.11a</t>
  </si>
  <si>
    <t>5.2.5.11b</t>
  </si>
  <si>
    <t>Col en blanc</t>
  </si>
  <si>
    <t>selectionnez dans la bonne colonne quand on aura le tableau et mettre en bkanc</t>
  </si>
  <si>
    <t>Turned to 0 if "J16"=2; See note 1</t>
  </si>
  <si>
    <t>0.2 dB if "J16"=2. See note 3</t>
  </si>
  <si>
    <t>SM-Equip. cords</t>
  </si>
  <si>
    <t>MM-Equip. cords</t>
  </si>
  <si>
    <t>MM-Equip. Cords</t>
  </si>
  <si>
    <t>IEC 61280-4-2 Ed3 Annex D</t>
  </si>
  <si>
    <t>IEC 61280-4-2 Ed3 Annex E</t>
  </si>
  <si>
    <t>IEC 61280-4-2 Ed3 Annex B</t>
  </si>
  <si>
    <t>IEC 61280-4-2 Ed3 Annex A</t>
  </si>
  <si>
    <t>5.2.6.4</t>
  </si>
  <si>
    <t>5.2.6.5</t>
  </si>
  <si>
    <t>5.2.7.4</t>
  </si>
  <si>
    <t>OTDR Bi-Dir.</t>
  </si>
  <si>
    <t>IEC 61280-4-2 Ed3 Annexes E and I.6</t>
  </si>
  <si>
    <t>5.2.5.14a</t>
  </si>
  <si>
    <t>5.2.5.14b</t>
  </si>
  <si>
    <t>Source</t>
  </si>
  <si>
    <t>INTERNATIONAL ELECTROTECHNICAL COMMISSION</t>
  </si>
  <si>
    <t>Introduction</t>
  </si>
  <si>
    <t>Overview</t>
  </si>
  <si>
    <t>Guidance</t>
  </si>
  <si>
    <t>This worksheet provides guidance on the use of the workbook.</t>
  </si>
  <si>
    <t>Uncertainties estimation</t>
  </si>
  <si>
    <t>It shall be configured to estimate the measurement uncertainties (see Item 3).</t>
  </si>
  <si>
    <t>Uncertainties sources</t>
  </si>
  <si>
    <t>This worksheet shall not be altered.</t>
  </si>
  <si>
    <t>Notes related to this version of the document</t>
  </si>
  <si>
    <t>Limitations / Known issues:</t>
  </si>
  <si>
    <t>- Multimode fibres are limited to 60793-2-10 type A1-OM2, A1-OM3, A1-OM4, A1-OM5 only.</t>
  </si>
  <si>
    <t>Disclaimer</t>
  </si>
  <si>
    <t>The IEC disclaims liability for any personal injury, property or other damages of any nature whatsoever, whether special, indirect, consequential or compensatory, directly or indirectly resulting from this software and the document upon which its methods are based, used for, or relied upon.</t>
  </si>
  <si>
    <t>This workbook consists of the following 4 worksheets:</t>
  </si>
  <si>
    <t>Setup_tables</t>
  </si>
  <si>
    <t>This worksheet contains tables used to configure wordsheet "uncertainty estimation" and default uncertainty values for connectors.</t>
  </si>
  <si>
    <t>Version: Ed 3</t>
  </si>
  <si>
    <t>- Splitters are supposed to use PLC technology .</t>
  </si>
  <si>
    <t>- Uncertainty lists reported on worksheet "Uncertainties estimation" are limited to uncertainties having sensibility coefficients &gt; 0.</t>
  </si>
  <si>
    <t>Max fibre length</t>
  </si>
  <si>
    <r>
      <t>R</t>
    </r>
    <r>
      <rPr>
        <b/>
        <vertAlign val="subscript"/>
        <sz val="11"/>
        <color theme="3"/>
        <rFont val="Calibri"/>
        <family val="2"/>
        <scheme val="minor"/>
      </rPr>
      <t>s1-2</t>
    </r>
    <r>
      <rPr>
        <b/>
        <sz val="11"/>
        <color theme="3"/>
        <rFont val="Calibri"/>
        <family val="2"/>
        <scheme val="minor"/>
      </rPr>
      <t xml:space="preserve"> PC</t>
    </r>
  </si>
  <si>
    <r>
      <t>R</t>
    </r>
    <r>
      <rPr>
        <b/>
        <vertAlign val="subscript"/>
        <sz val="11"/>
        <color theme="3"/>
        <rFont val="Calibri"/>
        <family val="2"/>
        <scheme val="minor"/>
      </rPr>
      <t>s1-2</t>
    </r>
    <r>
      <rPr>
        <b/>
        <sz val="11"/>
        <color theme="3"/>
        <rFont val="Calibri"/>
        <family val="2"/>
        <scheme val="minor"/>
      </rPr>
      <t xml:space="preserve"> APC</t>
    </r>
  </si>
  <si>
    <t>MM 12F</t>
  </si>
  <si>
    <t>MM 16F</t>
  </si>
  <si>
    <t>MM 16F APC</t>
  </si>
  <si>
    <t>MM 24F</t>
  </si>
  <si>
    <t>SM 12F  APC</t>
  </si>
  <si>
    <t>Connector identification</t>
  </si>
  <si>
    <t>Connector type</t>
  </si>
  <si>
    <t>Mating reproducibility</t>
  </si>
  <si>
    <t>Repeatability</t>
  </si>
  <si>
    <r>
      <t>R</t>
    </r>
    <r>
      <rPr>
        <vertAlign val="subscript"/>
        <sz val="11"/>
        <color theme="1"/>
        <rFont val="Calibri"/>
        <family val="2"/>
        <scheme val="minor"/>
      </rPr>
      <t>s1-2</t>
    </r>
    <r>
      <rPr>
        <sz val="11"/>
        <color theme="1"/>
        <rFont val="Calibri"/>
        <family val="2"/>
        <scheme val="minor"/>
      </rPr>
      <t xml:space="preserve"> PC</t>
    </r>
  </si>
  <si>
    <r>
      <t>u</t>
    </r>
    <r>
      <rPr>
        <sz val="11"/>
        <color theme="1"/>
        <rFont val="Calibri"/>
        <family val="2"/>
        <scheme val="minor"/>
      </rPr>
      <t>(A</t>
    </r>
    <r>
      <rPr>
        <vertAlign val="subscript"/>
        <sz val="10"/>
        <color theme="1"/>
        <rFont val="Arial"/>
        <family val="2"/>
      </rPr>
      <t>DUT</t>
    </r>
    <r>
      <rPr>
        <sz val="11"/>
        <color theme="1"/>
        <rFont val="Calibri"/>
        <family val="2"/>
        <scheme val="minor"/>
      </rPr>
      <t>)</t>
    </r>
  </si>
  <si>
    <r>
      <t>U(A</t>
    </r>
    <r>
      <rPr>
        <vertAlign val="subscript"/>
        <sz val="10"/>
        <color theme="1"/>
        <rFont val="Arial"/>
        <family val="2"/>
      </rPr>
      <t>DUT</t>
    </r>
    <r>
      <rPr>
        <sz val="11"/>
        <color theme="1"/>
        <rFont val="Calibri"/>
        <family val="2"/>
        <scheme val="minor"/>
      </rPr>
      <t>)</t>
    </r>
  </si>
  <si>
    <r>
      <t>Rs</t>
    </r>
    <r>
      <rPr>
        <vertAlign val="subscript"/>
        <sz val="11"/>
        <color theme="1"/>
        <rFont val="Calibri"/>
        <family val="2"/>
        <scheme val="minor"/>
      </rPr>
      <t>1-2</t>
    </r>
    <r>
      <rPr>
        <sz val="11"/>
        <color theme="1"/>
        <rFont val="Calibri"/>
        <family val="2"/>
        <scheme val="minor"/>
      </rPr>
      <t xml:space="preserve"> APC</t>
    </r>
  </si>
  <si>
    <t>SM SF Grade 1 PC</t>
  </si>
  <si>
    <t>SM SF Grade 2 PC</t>
  </si>
  <si>
    <t>SM SF Grade C PC</t>
  </si>
  <si>
    <t>SM SF Grade 1 APC</t>
  </si>
  <si>
    <t>SM SF Grade 2 APC</t>
  </si>
  <si>
    <t>SM SF Grade C APC</t>
  </si>
  <si>
    <t>MM SF Ref. Grade</t>
  </si>
  <si>
    <t>MM SF Std. Grade</t>
  </si>
  <si>
    <t>IEC TR 61282-14 Ed3 Supplemental Data</t>
  </si>
  <si>
    <t>Determination of the uncertainties of attenuation 
measurements in fibre plants</t>
  </si>
  <si>
    <t>IEC TR 61282-14 Ed3 Supplemental Data for 
Section 8</t>
  </si>
  <si>
    <t>IEC TR 61282-14 Ed3 Supplemental Data for Section 8</t>
  </si>
  <si>
    <t>This worksheet reproduces IEC TR 61282-14, Table 5, Table 6, Table 8 and default uncertainty values.</t>
  </si>
  <si>
    <t>- For OTDR-SM, Distance between data points is assumed to be constant.</t>
  </si>
  <si>
    <t>- For LSPM-MM or LSPM-SM, Same type of connector shall be used. Note b) of Table 6  in Clause 7 of IEC TR 61282-14 always applies.</t>
  </si>
  <si>
    <t>- For LSPM-MM or LSPM-SM, OPM noise level is set to a fixed value of 100 pW.</t>
  </si>
  <si>
    <t>"Source wavelength": Enter in "J9" the source wavelength in nm. Enter the exact value to the extent it is known.</t>
  </si>
  <si>
    <t>This worksheet provides uncertainties calculations as described in IEC TR 61282-14 (results are displayed in cells "D13" and "D14").</t>
  </si>
  <si>
    <t>The worksheet then calculates the uncertainties, as described in IEC TR 61282-14, and displays the results in cells "D13" and "D14".</t>
  </si>
  <si>
    <t>Initialisation and setup</t>
  </si>
  <si>
    <t>First, select the measurement method, instrument, and connectors type in cells "J5" to "J7" on worksheet "Uncertainties estimation", using the drop-down menus provided for "Measurement device - Fibre type", "Method", and "Type of connectors".</t>
  </si>
  <si>
    <t>- For OTDR-SM, Effect of asymmetric noise is not considered. However a warning is shown for dynamic margins lower than 2.6 dB and calculation stops for dynamic margins lower than 0.55 dB.</t>
  </si>
  <si>
    <t>This workbook provides a tool for estimating attenuation measurement uncertainties as described in IEC TR 61282-14.</t>
  </si>
  <si>
    <t>The tool and its instructions presume that the user has some basic understanding of IEC TR 61282-14 and Microsoft Excel.</t>
  </si>
  <si>
    <t>- Uncertainties values are default values provided as examples (see comments).</t>
  </si>
  <si>
    <t>- For OTDR-SM, Same type of connector shall be used.</t>
  </si>
  <si>
    <t>If either cell "J6" or cell "J7" show a red background, then select a new value from the drop-down menu.</t>
  </si>
  <si>
    <t>Next, select the requested measurement conditions in cells "J9" to "J18" on the same worksheet ("Uncertainties estimation").  Note that the cell displays depend on the selection made in "J5".</t>
  </si>
  <si>
    <t>"Measured attenuation": Enter in "J11" the range of measured attenuation in dB (important for measurement of multimode fibre).</t>
  </si>
  <si>
    <t>"Fiber length": Enter in "J12" the estimated length of fibre.</t>
  </si>
  <si>
    <t>For OTDR-SM, "Regression length": Enter in "J14" the length of the regression. The two regressions are supposed to have the same length. If this is not the case, enter the shorter length.</t>
  </si>
  <si>
    <t>For OTDR-SM, "Distance between points": Enter in "J15" the distance between data points.</t>
  </si>
  <si>
    <t>For LSPM-MM or LSPM-SM, "Number of OPM used": Select "1" from the drop-down menu in cell "J16" if the same OPM is used for reference and attenuation measurements; otherwise select "2".</t>
  </si>
  <si>
    <r>
      <t>For LSPM-MM or LSPM-SM, "Source output power unstability"`: Enter in "J17" the unstability of the source at 2</t>
    </r>
    <r>
      <rPr>
        <sz val="10"/>
        <rFont val="Symbol"/>
        <family val="1"/>
        <charset val="2"/>
      </rPr>
      <t>s</t>
    </r>
    <r>
      <rPr>
        <sz val="10"/>
        <rFont val="Arial"/>
        <family val="2"/>
      </rPr>
      <t xml:space="preserve"> (report to table D1 for advice)</t>
    </r>
  </si>
  <si>
    <t>For LSPM-MM or LSPM-SM, "Source output power": Enter in "J18" the typical power level of the light source.</t>
  </si>
  <si>
    <t>From Table D.2</t>
  </si>
  <si>
    <r>
      <t xml:space="preserve">Uncertainty of </t>
    </r>
    <r>
      <rPr>
        <sz val="11"/>
        <color theme="1"/>
        <rFont val="Symbol"/>
        <family val="1"/>
        <charset val="2"/>
      </rPr>
      <t>l</t>
    </r>
  </si>
  <si>
    <t>Dyn. margin</t>
  </si>
  <si>
    <t>"Uncertainty of wavelength knowledge": "J10" the uncertainty associated with the source wavelength is automaticaly set from table 4 using the folowing formula =INDEX(Setup_tables!C$24:S$24;1;EQUIV(J$6;Setup_tables!C$16:S$16;0)). However this value can be changed</t>
  </si>
  <si>
    <t>For OTDR-SM, "Dynamic margin":  "J13" the dynamic margin observed in measurement is automaticaly set from table 4 using the formula = INDEX(Setup_tables!C$25:S$25;1;EQUIV(J$6;Setup_tables!C$16:S$16;0)). However this value can be changed. The dynamic margin shall be positive.</t>
  </si>
  <si>
    <t>IEC 61280-4-2 Ed3 Annex C</t>
  </si>
  <si>
    <t>Rs1-2 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</si>
</sst>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
    <numFmt numFmtId="165" formatCode="0.0E+00"/>
    <numFmt numFmtId="166" formatCode="0.0000"/>
    <numFmt numFmtId="167" formatCode="0.000"/>
    <numFmt numFmtId="168" formatCode="_-* #,##0.00\ _€_-;\-* #,##0.00\ _€_-;_-* &quot;-&quot;??\ _€_-;_-@_-"/>
    <numFmt numFmtId="169" formatCode="_-* #,##0.000\ _€_-;\-* #,##0.000\ _€_-;_-* &quot;-&quot;??\ _€_-;_-@_-"/>
    <numFmt numFmtId="170" formatCode="0.0"/>
    <numFmt numFmtId="171" formatCode="0.E+00"/>
    <numFmt numFmtId="172" formatCode="0.0%"/>
  </numFmts>
  <fonts count="44" x14ac:knownFonts="1">
    <font>
      <sz val="11"/>
      <color theme="1"/>
      <name val="Calibri"/>
      <family val="2"/>
      <scheme val="minor"/>
    </font>
    <font>
      <b/>
      <sz val="11"/>
      <color theme="3"/>
      <name val="Calibri"/>
      <family val="2"/>
      <scheme val="minor"/>
    </font>
    <font>
      <sz val="10"/>
      <color rgb="FF000000"/>
      <name val="Arial"/>
      <family val="2"/>
    </font>
    <font>
      <b/>
      <sz val="14"/>
      <name val="Arial"/>
      <family val="2"/>
    </font>
    <font>
      <b/>
      <sz val="11"/>
      <color rgb="FF000000"/>
      <name val="Arial"/>
      <family val="2"/>
    </font>
    <font>
      <sz val="10"/>
      <name val="Arial"/>
      <family val="2"/>
    </font>
    <font>
      <b/>
      <sz val="10"/>
      <color rgb="FFFF0000"/>
      <name val="Arial"/>
      <family val="2"/>
    </font>
    <font>
      <b/>
      <sz val="10"/>
      <color rgb="FF000080"/>
      <name val="Arial"/>
      <family val="2"/>
    </font>
    <font>
      <b/>
      <sz val="10"/>
      <color rgb="FF000000"/>
      <name val="Arial"/>
      <family val="2"/>
    </font>
    <font>
      <b/>
      <sz val="10"/>
      <name val="Arial"/>
      <family val="2"/>
    </font>
    <font>
      <b/>
      <sz val="10"/>
      <color rgb="FF0000FF"/>
      <name val="Arial"/>
      <family val="2"/>
    </font>
    <font>
      <b/>
      <sz val="10"/>
      <color theme="0"/>
      <name val="Arial"/>
      <family val="2"/>
    </font>
    <font>
      <sz val="10"/>
      <color theme="0"/>
      <name val="Arial"/>
      <family val="2"/>
    </font>
    <font>
      <sz val="11"/>
      <color theme="3"/>
      <name val="Calibri"/>
      <family val="2"/>
      <scheme val="minor"/>
    </font>
    <font>
      <vertAlign val="subscript"/>
      <sz val="11"/>
      <color theme="1"/>
      <name val="Calibri"/>
      <family val="2"/>
      <scheme val="minor"/>
    </font>
    <font>
      <b/>
      <vertAlign val="subscript"/>
      <sz val="11"/>
      <color theme="3"/>
      <name val="Calibri"/>
      <family val="2"/>
      <scheme val="minor"/>
    </font>
    <font>
      <b/>
      <u/>
      <sz val="10"/>
      <color rgb="FF000000"/>
      <name val="Arial"/>
      <family val="2"/>
    </font>
    <font>
      <b/>
      <sz val="10"/>
      <color rgb="FF000080"/>
      <name val="Symbol"/>
      <family val="1"/>
      <charset val="2"/>
    </font>
    <font>
      <b/>
      <u/>
      <sz val="10"/>
      <name val="Arial"/>
      <family val="2"/>
    </font>
    <font>
      <sz val="10"/>
      <color theme="1"/>
      <name val="Arial"/>
      <family val="2"/>
    </font>
    <font>
      <i/>
      <sz val="10"/>
      <color theme="1"/>
      <name val="Arial"/>
      <family val="2"/>
    </font>
    <font>
      <vertAlign val="subscript"/>
      <sz val="10"/>
      <color theme="1"/>
      <name val="Arial"/>
      <family val="2"/>
    </font>
    <font>
      <b/>
      <sz val="10"/>
      <color theme="1"/>
      <name val="Arial"/>
      <family val="2"/>
    </font>
    <font>
      <b/>
      <sz val="10"/>
      <color theme="1"/>
      <name val="Symbol"/>
      <family val="1"/>
      <charset val="2"/>
    </font>
    <font>
      <b/>
      <vertAlign val="subscript"/>
      <sz val="10"/>
      <color theme="1"/>
      <name val="Arial"/>
      <family val="2"/>
    </font>
    <font>
      <b/>
      <i/>
      <sz val="10"/>
      <color rgb="FF000080"/>
      <name val="Arial"/>
      <family val="2"/>
    </font>
    <font>
      <b/>
      <i/>
      <vertAlign val="subscript"/>
      <sz val="10"/>
      <color rgb="FF000080"/>
      <name val="Arial"/>
      <family val="2"/>
    </font>
    <font>
      <b/>
      <vertAlign val="superscript"/>
      <sz val="10"/>
      <color rgb="FF000080"/>
      <name val="Arial"/>
      <family val="2"/>
    </font>
    <font>
      <b/>
      <sz val="10"/>
      <color rgb="FF0070C0"/>
      <name val="Arial"/>
      <family val="2"/>
    </font>
    <font>
      <sz val="10"/>
      <color rgb="FF000080"/>
      <name val="Arial"/>
      <family val="2"/>
    </font>
    <font>
      <i/>
      <sz val="10"/>
      <color rgb="FF000080"/>
      <name val="Arial"/>
      <family val="2"/>
    </font>
    <font>
      <sz val="10"/>
      <color rgb="FF000080"/>
      <name val="Symbol"/>
      <family val="1"/>
      <charset val="2"/>
    </font>
    <font>
      <vertAlign val="subscript"/>
      <sz val="10"/>
      <color rgb="FF000080"/>
      <name val="Arial"/>
      <family val="2"/>
    </font>
    <font>
      <sz val="8"/>
      <name val="Calibri"/>
      <family val="2"/>
      <scheme val="minor"/>
    </font>
    <font>
      <sz val="10"/>
      <color rgb="FFFF0000"/>
      <name val="Arial"/>
      <family val="2"/>
    </font>
    <font>
      <b/>
      <vertAlign val="subscript"/>
      <sz val="10"/>
      <color theme="0"/>
      <name val="Arial"/>
      <family val="2"/>
    </font>
    <font>
      <b/>
      <sz val="10"/>
      <color theme="0"/>
      <name val="Symbol"/>
      <family val="1"/>
      <charset val="2"/>
    </font>
    <font>
      <sz val="8"/>
      <color theme="0"/>
      <name val="Arial"/>
      <family val="2"/>
    </font>
    <font>
      <u/>
      <sz val="10"/>
      <color rgb="FF000000"/>
      <name val="Arial"/>
      <family val="2"/>
    </font>
    <font>
      <u/>
      <sz val="10"/>
      <name val="Arial"/>
      <family val="2"/>
    </font>
    <font>
      <sz val="10"/>
      <name val="Symbol"/>
      <family val="1"/>
      <charset val="2"/>
    </font>
    <font>
      <b/>
      <sz val="12"/>
      <name val="Arial"/>
      <family val="2"/>
    </font>
    <font>
      <sz val="11"/>
      <color theme="0"/>
      <name val="Calibri"/>
      <family val="2"/>
      <scheme val="minor"/>
    </font>
    <font>
      <sz val="11"/>
      <color theme="1"/>
      <name val="Symbol"/>
      <family val="1"/>
      <charset val="2"/>
    </font>
  </fonts>
  <fills count="12">
    <fill>
      <patternFill patternType="none"/>
    </fill>
    <fill>
      <patternFill patternType="gray125"/>
    </fill>
    <fill>
      <patternFill patternType="solid">
        <fgColor rgb="FFC0C0C0"/>
        <bgColor rgb="FFC0C0C0"/>
      </patternFill>
    </fill>
    <fill>
      <patternFill patternType="solid">
        <fgColor rgb="FFFF0000"/>
        <bgColor indexed="64"/>
      </patternFill>
    </fill>
    <fill>
      <patternFill patternType="solid">
        <fgColor theme="4" tint="0.79998168889431442"/>
        <bgColor indexed="64"/>
      </patternFill>
    </fill>
    <fill>
      <patternFill patternType="solid">
        <fgColor rgb="FF99FF66"/>
        <bgColor indexed="64"/>
      </patternFill>
    </fill>
    <fill>
      <patternFill patternType="solid">
        <fgColor theme="0" tint="-0.14999847407452621"/>
        <bgColor indexed="64"/>
      </patternFill>
    </fill>
    <fill>
      <patternFill patternType="solid">
        <fgColor theme="0"/>
        <bgColor indexed="64"/>
      </patternFill>
    </fill>
    <fill>
      <patternFill patternType="solid">
        <fgColor rgb="FFBFBFBF"/>
        <bgColor rgb="FFBFBFBF"/>
      </patternFill>
    </fill>
    <fill>
      <patternFill patternType="solid">
        <fgColor rgb="FFCCFFFF"/>
        <bgColor rgb="FFCCFFFF"/>
      </patternFill>
    </fill>
    <fill>
      <patternFill patternType="solid">
        <fgColor rgb="FFFFFF99"/>
        <bgColor rgb="FFFFFF99"/>
      </patternFill>
    </fill>
    <fill>
      <patternFill patternType="solid">
        <fgColor theme="6" tint="0.59999389629810485"/>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thin">
        <color indexed="64"/>
      </top>
      <bottom style="medium">
        <color indexed="64"/>
      </bottom>
      <diagonal/>
    </border>
    <border>
      <left style="thin">
        <color rgb="FF000000"/>
      </left>
      <right style="thin">
        <color rgb="FF000000"/>
      </right>
      <top style="thin">
        <color indexed="64"/>
      </top>
      <bottom style="medium">
        <color indexed="64"/>
      </bottom>
      <diagonal/>
    </border>
    <border>
      <left style="thin">
        <color rgb="FF000000"/>
      </left>
      <right style="medium">
        <color rgb="FF000000"/>
      </right>
      <top style="thin">
        <color indexed="64"/>
      </top>
      <bottom style="medium">
        <color indexed="64"/>
      </bottom>
      <diagonal/>
    </border>
    <border>
      <left style="thin">
        <color indexed="64"/>
      </left>
      <right style="thin">
        <color rgb="FF000000"/>
      </right>
      <top style="medium">
        <color rgb="FF000000"/>
      </top>
      <bottom style="thin">
        <color rgb="FF000000"/>
      </bottom>
      <diagonal/>
    </border>
    <border>
      <left style="thin">
        <color indexed="64"/>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bottom/>
      <diagonal/>
    </border>
  </borders>
  <cellStyleXfs count="4">
    <xf numFmtId="0" fontId="0" fillId="0" borderId="0"/>
    <xf numFmtId="0" fontId="2" fillId="0" borderId="0"/>
    <xf numFmtId="9" fontId="2" fillId="0" borderId="0" applyFont="0" applyFill="0" applyBorder="0" applyAlignment="0" applyProtection="0"/>
    <xf numFmtId="168" fontId="2" fillId="0" borderId="0" applyFont="0" applyFill="0" applyBorder="0" applyAlignment="0" applyProtection="0"/>
  </cellStyleXfs>
  <cellXfs count="218">
    <xf numFmtId="0" fontId="0" fillId="0" borderId="0" xfId="0"/>
    <xf numFmtId="0" fontId="2" fillId="0" borderId="0" xfId="1"/>
    <xf numFmtId="0" fontId="3" fillId="0" borderId="0" xfId="1" applyFont="1" applyAlignment="1">
      <alignment horizontal="center" vertical="center" wrapText="1"/>
    </xf>
    <xf numFmtId="0" fontId="3" fillId="0" borderId="0" xfId="1" applyFont="1" applyAlignment="1">
      <alignment vertical="center" wrapText="1"/>
    </xf>
    <xf numFmtId="0" fontId="5" fillId="0" borderId="0" xfId="1" applyFont="1"/>
    <xf numFmtId="0" fontId="6" fillId="0" borderId="0" xfId="1" applyFont="1" applyAlignment="1">
      <alignment horizontal="right" vertical="center" wrapText="1"/>
    </xf>
    <xf numFmtId="0" fontId="2" fillId="0" borderId="0" xfId="2" applyNumberFormat="1"/>
    <xf numFmtId="164" fontId="2" fillId="0" borderId="0" xfId="2" applyNumberFormat="1"/>
    <xf numFmtId="1" fontId="8" fillId="3" borderId="9" xfId="1" applyNumberFormat="1" applyFont="1" applyFill="1" applyBorder="1" applyAlignment="1">
      <alignment horizontal="center"/>
    </xf>
    <xf numFmtId="0" fontId="8" fillId="0" borderId="7" xfId="1" applyFont="1" applyBorder="1" applyAlignment="1">
      <alignment horizontal="left"/>
    </xf>
    <xf numFmtId="164" fontId="5" fillId="0" borderId="0" xfId="2" applyNumberFormat="1" applyFont="1"/>
    <xf numFmtId="0" fontId="9" fillId="0" borderId="9" xfId="1" applyFont="1" applyBorder="1" applyAlignment="1">
      <alignment horizontal="center"/>
    </xf>
    <xf numFmtId="0" fontId="8" fillId="0" borderId="7" xfId="1" applyFont="1" applyBorder="1"/>
    <xf numFmtId="0" fontId="2" fillId="0" borderId="0" xfId="1" applyAlignment="1">
      <alignment horizontal="right"/>
    </xf>
    <xf numFmtId="11" fontId="2" fillId="0" borderId="0" xfId="1" applyNumberFormat="1"/>
    <xf numFmtId="0" fontId="8" fillId="0" borderId="9" xfId="1" applyFont="1" applyBorder="1" applyAlignment="1">
      <alignment horizontal="center"/>
    </xf>
    <xf numFmtId="11" fontId="5" fillId="0" borderId="0" xfId="1" applyNumberFormat="1" applyFont="1"/>
    <xf numFmtId="2" fontId="2" fillId="4" borderId="0" xfId="1" applyNumberFormat="1" applyFill="1" applyAlignment="1">
      <alignment horizontal="center"/>
    </xf>
    <xf numFmtId="0" fontId="2" fillId="4" borderId="0" xfId="1" applyFill="1"/>
    <xf numFmtId="0" fontId="8" fillId="0" borderId="0" xfId="1" applyFont="1" applyAlignment="1">
      <alignment horizontal="center"/>
    </xf>
    <xf numFmtId="2" fontId="8" fillId="0" borderId="0" xfId="1" applyNumberFormat="1" applyFont="1" applyAlignment="1">
      <alignment horizontal="center"/>
    </xf>
    <xf numFmtId="166" fontId="5" fillId="0" borderId="0" xfId="2" applyNumberFormat="1" applyFont="1"/>
    <xf numFmtId="0" fontId="2" fillId="4" borderId="0" xfId="1" applyFill="1" applyAlignment="1">
      <alignment horizontal="center"/>
    </xf>
    <xf numFmtId="0" fontId="2" fillId="0" borderId="0" xfId="1" applyAlignment="1">
      <alignment horizontal="center"/>
    </xf>
    <xf numFmtId="0" fontId="4" fillId="0" borderId="0" xfId="1" applyFont="1" applyAlignment="1">
      <alignment horizontal="center" vertical="center" wrapText="1"/>
    </xf>
    <xf numFmtId="0" fontId="12" fillId="0" borderId="0" xfId="1" applyFont="1"/>
    <xf numFmtId="0" fontId="0" fillId="0" borderId="16" xfId="0" applyBorder="1"/>
    <xf numFmtId="0" fontId="0" fillId="0" borderId="17" xfId="0" applyBorder="1"/>
    <xf numFmtId="0" fontId="1" fillId="6" borderId="15" xfId="0" applyFont="1" applyFill="1"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 fillId="6" borderId="1" xfId="0" applyFont="1" applyFill="1" applyBorder="1"/>
    <xf numFmtId="0" fontId="1" fillId="6" borderId="2" xfId="0" applyFont="1" applyFill="1" applyBorder="1"/>
    <xf numFmtId="0" fontId="1" fillId="6" borderId="3" xfId="0" applyFont="1" applyFill="1" applyBorder="1"/>
    <xf numFmtId="0" fontId="0" fillId="0" borderId="0" xfId="0" applyAlignment="1">
      <alignment horizontal="left" vertical="top" wrapText="1"/>
    </xf>
    <xf numFmtId="0" fontId="0" fillId="0" borderId="19" xfId="0" applyBorder="1" applyAlignment="1">
      <alignment horizontal="left" vertical="top" wrapText="1"/>
    </xf>
    <xf numFmtId="0" fontId="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0" fillId="0" borderId="18" xfId="0" applyBorder="1" applyAlignment="1">
      <alignment wrapText="1"/>
    </xf>
    <xf numFmtId="0" fontId="13" fillId="0" borderId="18" xfId="0" applyFont="1" applyBorder="1"/>
    <xf numFmtId="0" fontId="13" fillId="0" borderId="0" xfId="0" applyFont="1"/>
    <xf numFmtId="165" fontId="12" fillId="0" borderId="0" xfId="2" applyNumberFormat="1" applyFont="1"/>
    <xf numFmtId="0" fontId="11" fillId="0" borderId="0" xfId="1" applyFont="1"/>
    <xf numFmtId="0" fontId="7" fillId="2" borderId="5" xfId="1" applyFont="1" applyFill="1" applyBorder="1" applyAlignment="1">
      <alignment horizontal="center" vertical="center"/>
    </xf>
    <xf numFmtId="0" fontId="7" fillId="2" borderId="5" xfId="1" applyFont="1" applyFill="1" applyBorder="1" applyAlignment="1">
      <alignment horizontal="center" vertical="center" wrapText="1"/>
    </xf>
    <xf numFmtId="0" fontId="2" fillId="0" borderId="8" xfId="1" applyBorder="1" applyAlignment="1">
      <alignment horizontal="center"/>
    </xf>
    <xf numFmtId="167" fontId="2" fillId="0" borderId="8" xfId="1" applyNumberFormat="1" applyBorder="1" applyAlignment="1">
      <alignment horizontal="center"/>
    </xf>
    <xf numFmtId="0" fontId="2" fillId="0" borderId="23" xfId="1" applyBorder="1"/>
    <xf numFmtId="0" fontId="7" fillId="2" borderId="8" xfId="1" applyFont="1" applyFill="1" applyBorder="1" applyAlignment="1">
      <alignment horizontal="center" vertical="center"/>
    </xf>
    <xf numFmtId="0" fontId="17" fillId="2" borderId="5" xfId="1" applyFont="1" applyFill="1" applyBorder="1" applyAlignment="1">
      <alignment horizontal="center" vertical="center"/>
    </xf>
    <xf numFmtId="0" fontId="2" fillId="2" borderId="8" xfId="1" applyFill="1" applyBorder="1" applyAlignment="1">
      <alignment horizontal="center" vertical="center"/>
    </xf>
    <xf numFmtId="0" fontId="2" fillId="2" borderId="10" xfId="1" applyFill="1" applyBorder="1" applyAlignment="1">
      <alignment horizontal="left"/>
    </xf>
    <xf numFmtId="169" fontId="5" fillId="0" borderId="8" xfId="3" applyNumberFormat="1" applyFont="1" applyFill="1" applyBorder="1" applyAlignment="1">
      <alignment horizontal="center"/>
    </xf>
    <xf numFmtId="167" fontId="5" fillId="0" borderId="8" xfId="1" applyNumberFormat="1" applyFont="1" applyBorder="1" applyAlignment="1">
      <alignment horizontal="center"/>
    </xf>
    <xf numFmtId="1" fontId="5" fillId="0" borderId="8" xfId="1" applyNumberFormat="1" applyFont="1" applyBorder="1" applyAlignment="1">
      <alignment horizontal="center"/>
    </xf>
    <xf numFmtId="1" fontId="5" fillId="0" borderId="8" xfId="3" applyNumberFormat="1" applyFont="1" applyFill="1" applyBorder="1" applyAlignment="1">
      <alignment horizontal="center"/>
    </xf>
    <xf numFmtId="170" fontId="5" fillId="0" borderId="8" xfId="1" applyNumberFormat="1" applyFont="1" applyBorder="1" applyAlignment="1">
      <alignment horizontal="center"/>
    </xf>
    <xf numFmtId="169" fontId="5" fillId="0" borderId="8" xfId="3" applyNumberFormat="1" applyFont="1" applyBorder="1" applyAlignment="1">
      <alignment horizontal="center"/>
    </xf>
    <xf numFmtId="169" fontId="0" fillId="0" borderId="8" xfId="3" applyNumberFormat="1" applyFont="1" applyFill="1" applyBorder="1" applyAlignment="1">
      <alignment horizontal="center"/>
    </xf>
    <xf numFmtId="171" fontId="2" fillId="0" borderId="8" xfId="1" applyNumberFormat="1" applyBorder="1" applyAlignment="1">
      <alignment horizontal="center"/>
    </xf>
    <xf numFmtId="1" fontId="2" fillId="0" borderId="8" xfId="1" applyNumberFormat="1" applyBorder="1" applyAlignment="1">
      <alignment horizontal="center"/>
    </xf>
    <xf numFmtId="0" fontId="2" fillId="0" borderId="8" xfId="1" applyBorder="1" applyAlignment="1">
      <alignment horizontal="center" vertical="center"/>
    </xf>
    <xf numFmtId="169" fontId="0" fillId="0" borderId="8" xfId="3" applyNumberFormat="1" applyFont="1" applyFill="1" applyBorder="1" applyAlignment="1">
      <alignment horizontal="center" vertical="center"/>
    </xf>
    <xf numFmtId="167" fontId="2" fillId="0" borderId="8" xfId="1" applyNumberFormat="1" applyBorder="1" applyAlignment="1">
      <alignment horizontal="center" vertical="center"/>
    </xf>
    <xf numFmtId="0" fontId="2" fillId="2" borderId="10" xfId="1" applyFill="1" applyBorder="1" applyAlignment="1">
      <alignment horizontal="left" vertical="center"/>
    </xf>
    <xf numFmtId="0" fontId="5" fillId="2" borderId="10" xfId="1" applyFont="1" applyFill="1" applyBorder="1" applyAlignment="1">
      <alignment horizontal="left" vertical="center"/>
    </xf>
    <xf numFmtId="0" fontId="5" fillId="2" borderId="10" xfId="1" applyFont="1" applyFill="1" applyBorder="1" applyAlignment="1">
      <alignment horizontal="left"/>
    </xf>
    <xf numFmtId="0" fontId="2" fillId="2" borderId="10" xfId="1" applyFill="1" applyBorder="1" applyAlignment="1">
      <alignment horizontal="center" vertical="center"/>
    </xf>
    <xf numFmtId="0" fontId="5" fillId="0" borderId="0" xfId="1" applyFont="1" applyAlignment="1">
      <alignment horizontal="center"/>
    </xf>
    <xf numFmtId="0" fontId="16" fillId="0" borderId="0" xfId="1" applyFont="1" applyAlignment="1">
      <alignment vertical="center"/>
    </xf>
    <xf numFmtId="0" fontId="18" fillId="0" borderId="0" xfId="1" applyFont="1" applyAlignment="1">
      <alignment vertical="center"/>
    </xf>
    <xf numFmtId="0" fontId="5" fillId="0" borderId="23" xfId="1" applyFont="1" applyBorder="1" applyAlignment="1">
      <alignment horizontal="center"/>
    </xf>
    <xf numFmtId="0" fontId="2" fillId="0" borderId="25" xfId="1" applyBorder="1" applyAlignment="1">
      <alignment horizontal="center" wrapText="1"/>
    </xf>
    <xf numFmtId="0" fontId="2" fillId="0" borderId="27" xfId="1" applyBorder="1" applyAlignment="1">
      <alignment horizontal="center" wrapText="1"/>
    </xf>
    <xf numFmtId="0" fontId="9" fillId="2" borderId="8" xfId="1" applyFont="1" applyFill="1" applyBorder="1" applyAlignment="1">
      <alignment horizontal="center" vertical="center"/>
    </xf>
    <xf numFmtId="167" fontId="2" fillId="0" borderId="28" xfId="1" applyNumberFormat="1" applyBorder="1" applyAlignment="1">
      <alignment horizontal="center"/>
    </xf>
    <xf numFmtId="167" fontId="2" fillId="0" borderId="29" xfId="1" applyNumberFormat="1" applyBorder="1" applyAlignment="1">
      <alignment horizontal="center"/>
    </xf>
    <xf numFmtId="167" fontId="2" fillId="0" borderId="30" xfId="1" applyNumberFormat="1" applyBorder="1" applyAlignment="1">
      <alignment horizontal="center"/>
    </xf>
    <xf numFmtId="167" fontId="2" fillId="0" borderId="31" xfId="1" applyNumberFormat="1" applyBorder="1" applyAlignment="1">
      <alignment horizontal="center"/>
    </xf>
    <xf numFmtId="167" fontId="5" fillId="0" borderId="31" xfId="1" applyNumberFormat="1" applyFont="1" applyBorder="1" applyAlignment="1">
      <alignment horizontal="center"/>
    </xf>
    <xf numFmtId="167" fontId="2" fillId="0" borderId="26" xfId="1" applyNumberFormat="1" applyBorder="1" applyAlignment="1">
      <alignment horizontal="center"/>
    </xf>
    <xf numFmtId="167" fontId="5" fillId="0" borderId="26" xfId="1" applyNumberFormat="1" applyFont="1" applyBorder="1" applyAlignment="1">
      <alignment horizontal="center"/>
    </xf>
    <xf numFmtId="167" fontId="5" fillId="0" borderId="27" xfId="1" applyNumberFormat="1" applyFont="1" applyBorder="1" applyAlignment="1">
      <alignment horizontal="center"/>
    </xf>
    <xf numFmtId="11" fontId="19" fillId="7" borderId="8" xfId="1" applyNumberFormat="1" applyFont="1" applyFill="1" applyBorder="1" applyAlignment="1">
      <alignment horizontal="center"/>
    </xf>
    <xf numFmtId="0" fontId="20" fillId="7" borderId="8" xfId="1" applyFont="1" applyFill="1" applyBorder="1" applyAlignment="1">
      <alignment horizontal="right" vertical="center"/>
    </xf>
    <xf numFmtId="0" fontId="20" fillId="7" borderId="10" xfId="1" applyFont="1" applyFill="1" applyBorder="1"/>
    <xf numFmtId="2" fontId="19" fillId="7" borderId="11" xfId="1" applyNumberFormat="1" applyFont="1" applyFill="1" applyBorder="1" applyAlignment="1">
      <alignment horizontal="center"/>
    </xf>
    <xf numFmtId="0" fontId="22" fillId="7" borderId="8" xfId="1" applyFont="1" applyFill="1" applyBorder="1" applyAlignment="1">
      <alignment horizontal="right" vertical="center"/>
    </xf>
    <xf numFmtId="0" fontId="22" fillId="7" borderId="10" xfId="1" applyFont="1" applyFill="1" applyBorder="1" applyAlignment="1">
      <alignment horizontal="left"/>
    </xf>
    <xf numFmtId="2" fontId="22" fillId="7" borderId="11" xfId="1" applyNumberFormat="1" applyFont="1" applyFill="1" applyBorder="1" applyAlignment="1">
      <alignment horizontal="center"/>
    </xf>
    <xf numFmtId="0" fontId="19" fillId="7" borderId="8" xfId="1" applyFont="1" applyFill="1" applyBorder="1" applyAlignment="1">
      <alignment horizontal="right" vertical="center"/>
    </xf>
    <xf numFmtId="0" fontId="19" fillId="7" borderId="10" xfId="1" applyFont="1" applyFill="1" applyBorder="1"/>
    <xf numFmtId="11" fontId="19" fillId="7" borderId="11" xfId="1" applyNumberFormat="1" applyFont="1" applyFill="1" applyBorder="1" applyAlignment="1">
      <alignment horizontal="center"/>
    </xf>
    <xf numFmtId="2" fontId="28" fillId="10" borderId="11" xfId="2" applyNumberFormat="1" applyFont="1" applyFill="1" applyBorder="1" applyAlignment="1">
      <alignment horizontal="center"/>
    </xf>
    <xf numFmtId="0" fontId="16" fillId="0" borderId="8" xfId="1" applyFont="1" applyBorder="1" applyAlignment="1">
      <alignment vertical="center"/>
    </xf>
    <xf numFmtId="165" fontId="2" fillId="0" borderId="0" xfId="1" applyNumberFormat="1"/>
    <xf numFmtId="0" fontId="16" fillId="0" borderId="5" xfId="1" applyFont="1" applyBorder="1" applyAlignment="1">
      <alignment vertical="center"/>
    </xf>
    <xf numFmtId="0" fontId="29" fillId="2" borderId="32" xfId="1" applyFont="1" applyFill="1" applyBorder="1" applyAlignment="1">
      <alignment horizontal="center" vertical="center"/>
    </xf>
    <xf numFmtId="0" fontId="29" fillId="2" borderId="32" xfId="1" applyFont="1" applyFill="1" applyBorder="1" applyAlignment="1">
      <alignment horizontal="center" vertical="center" wrapText="1"/>
    </xf>
    <xf numFmtId="0" fontId="30" fillId="2" borderId="32" xfId="1" applyFont="1" applyFill="1" applyBorder="1" applyAlignment="1">
      <alignment horizontal="center" vertical="center"/>
    </xf>
    <xf numFmtId="0" fontId="2" fillId="0" borderId="10" xfId="1" applyBorder="1" applyAlignment="1">
      <alignment horizontal="center"/>
    </xf>
    <xf numFmtId="0" fontId="2" fillId="0" borderId="24" xfId="1" applyBorder="1" applyAlignment="1">
      <alignment horizontal="center"/>
    </xf>
    <xf numFmtId="0" fontId="2" fillId="0" borderId="11" xfId="1" applyBorder="1" applyAlignment="1">
      <alignment horizontal="center"/>
    </xf>
    <xf numFmtId="0" fontId="16" fillId="0" borderId="8" xfId="0" applyFont="1" applyBorder="1" applyAlignment="1">
      <alignment vertical="center"/>
    </xf>
    <xf numFmtId="0" fontId="8" fillId="0" borderId="0" xfId="0" applyFont="1" applyAlignment="1">
      <alignment horizontal="center"/>
    </xf>
    <xf numFmtId="0" fontId="7" fillId="2" borderId="5" xfId="0" applyFont="1" applyFill="1" applyBorder="1" applyAlignment="1">
      <alignment horizontal="center" vertical="center"/>
    </xf>
    <xf numFmtId="0" fontId="7" fillId="2" borderId="5" xfId="0" applyFont="1" applyFill="1" applyBorder="1" applyAlignment="1">
      <alignment horizontal="center" vertical="center" wrapText="1"/>
    </xf>
    <xf numFmtId="0" fontId="25" fillId="2" borderId="5" xfId="0" applyFont="1" applyFill="1" applyBorder="1" applyAlignment="1">
      <alignment horizontal="center" vertical="center"/>
    </xf>
    <xf numFmtId="0" fontId="0" fillId="2" borderId="8" xfId="0" applyFill="1" applyBorder="1"/>
    <xf numFmtId="0" fontId="0" fillId="2" borderId="10" xfId="0" applyFill="1" applyBorder="1" applyAlignment="1">
      <alignment horizontal="center"/>
    </xf>
    <xf numFmtId="0" fontId="0" fillId="0" borderId="8" xfId="0" applyBorder="1" applyAlignment="1">
      <alignment horizontal="center"/>
    </xf>
    <xf numFmtId="2" fontId="0" fillId="0" borderId="8" xfId="0" applyNumberFormat="1" applyBorder="1" applyAlignment="1">
      <alignment horizontal="center"/>
    </xf>
    <xf numFmtId="167" fontId="0" fillId="0" borderId="8" xfId="0" applyNumberFormat="1" applyBorder="1" applyAlignment="1">
      <alignment horizontal="center"/>
    </xf>
    <xf numFmtId="11" fontId="0" fillId="0" borderId="8" xfId="0" applyNumberFormat="1" applyBorder="1" applyAlignment="1">
      <alignment horizontal="center"/>
    </xf>
    <xf numFmtId="165" fontId="0" fillId="0" borderId="8" xfId="0" applyNumberFormat="1" applyBorder="1" applyAlignment="1">
      <alignment horizontal="center"/>
    </xf>
    <xf numFmtId="0" fontId="5" fillId="0" borderId="10" xfId="1" applyFont="1" applyBorder="1" applyAlignment="1">
      <alignment horizontal="center"/>
    </xf>
    <xf numFmtId="0" fontId="5" fillId="0" borderId="24" xfId="1" applyFont="1" applyBorder="1" applyAlignment="1">
      <alignment horizontal="center"/>
    </xf>
    <xf numFmtId="0" fontId="5" fillId="0" borderId="11" xfId="1" applyFont="1" applyBorder="1" applyAlignment="1">
      <alignment horizontal="center"/>
    </xf>
    <xf numFmtId="0" fontId="2" fillId="0" borderId="26" xfId="1" applyBorder="1" applyAlignment="1">
      <alignment horizontal="center" wrapText="1"/>
    </xf>
    <xf numFmtId="0" fontId="34" fillId="0" borderId="0" xfId="1" applyFont="1"/>
    <xf numFmtId="11" fontId="0" fillId="9" borderId="0" xfId="0" applyNumberFormat="1" applyFill="1"/>
    <xf numFmtId="0" fontId="0" fillId="2" borderId="8" xfId="0" applyFill="1" applyBorder="1" applyAlignment="1">
      <alignment vertical="center"/>
    </xf>
    <xf numFmtId="0" fontId="25" fillId="2" borderId="5" xfId="0" applyFont="1" applyFill="1" applyBorder="1" applyAlignment="1">
      <alignment horizontal="center"/>
    </xf>
    <xf numFmtId="0" fontId="7" fillId="2" borderId="5" xfId="0" applyFont="1" applyFill="1" applyBorder="1" applyAlignment="1">
      <alignment horizontal="center"/>
    </xf>
    <xf numFmtId="11" fontId="0" fillId="9" borderId="8" xfId="0" applyNumberFormat="1" applyFill="1" applyBorder="1"/>
    <xf numFmtId="0" fontId="10" fillId="10" borderId="8" xfId="0" applyFont="1" applyFill="1" applyBorder="1" applyAlignment="1">
      <alignment horizontal="right" vertical="center"/>
    </xf>
    <xf numFmtId="0" fontId="10" fillId="10" borderId="10" xfId="0" applyFont="1" applyFill="1" applyBorder="1" applyAlignment="1">
      <alignment horizontal="center"/>
    </xf>
    <xf numFmtId="167" fontId="5" fillId="0" borderId="8" xfId="0" applyNumberFormat="1" applyFont="1" applyBorder="1" applyAlignment="1">
      <alignment horizontal="center"/>
    </xf>
    <xf numFmtId="167" fontId="2" fillId="0" borderId="37" xfId="1" applyNumberFormat="1" applyBorder="1" applyAlignment="1">
      <alignment horizontal="center"/>
    </xf>
    <xf numFmtId="167" fontId="2" fillId="0" borderId="38" xfId="1" applyNumberFormat="1" applyBorder="1" applyAlignment="1">
      <alignment horizontal="center"/>
    </xf>
    <xf numFmtId="0" fontId="5" fillId="2" borderId="39" xfId="1" applyFont="1" applyFill="1" applyBorder="1" applyAlignment="1">
      <alignment horizontal="left"/>
    </xf>
    <xf numFmtId="0" fontId="2" fillId="2" borderId="38" xfId="1" applyFill="1" applyBorder="1" applyAlignment="1">
      <alignment horizontal="center" vertical="center"/>
    </xf>
    <xf numFmtId="167" fontId="2" fillId="0" borderId="33" xfId="1" applyNumberFormat="1" applyBorder="1" applyAlignment="1">
      <alignment horizontal="center"/>
    </xf>
    <xf numFmtId="167" fontId="2" fillId="0" borderId="40" xfId="1" applyNumberFormat="1" applyBorder="1" applyAlignment="1">
      <alignment horizontal="center"/>
    </xf>
    <xf numFmtId="0" fontId="2" fillId="0" borderId="42" xfId="1" applyBorder="1" applyAlignment="1">
      <alignment horizontal="center" wrapText="1"/>
    </xf>
    <xf numFmtId="0" fontId="2" fillId="0" borderId="41" xfId="1" applyBorder="1" applyAlignment="1">
      <alignment horizontal="center" wrapText="1"/>
    </xf>
    <xf numFmtId="1" fontId="0" fillId="11" borderId="0" xfId="0" applyNumberFormat="1" applyFill="1" applyAlignment="1">
      <alignment horizontal="center"/>
    </xf>
    <xf numFmtId="11" fontId="12" fillId="0" borderId="0" xfId="1" applyNumberFormat="1" applyFont="1"/>
    <xf numFmtId="0" fontId="11" fillId="0" borderId="0" xfId="1" applyFont="1" applyAlignment="1">
      <alignment horizontal="center" vertical="center" wrapText="1"/>
    </xf>
    <xf numFmtId="0" fontId="35" fillId="0" borderId="0" xfId="1" applyFont="1" applyAlignment="1">
      <alignment horizontal="center" vertical="center" wrapText="1"/>
    </xf>
    <xf numFmtId="0" fontId="36" fillId="0" borderId="0" xfId="1" applyFont="1" applyAlignment="1">
      <alignment horizontal="center" vertical="center" wrapText="1"/>
    </xf>
    <xf numFmtId="0" fontId="37" fillId="0" borderId="0" xfId="1" applyFont="1" applyAlignment="1">
      <alignment horizontal="center" vertical="center" wrapText="1"/>
    </xf>
    <xf numFmtId="11" fontId="37" fillId="0" borderId="0" xfId="1" applyNumberFormat="1" applyFont="1" applyAlignment="1">
      <alignment horizontal="center" vertical="center" wrapText="1"/>
    </xf>
    <xf numFmtId="2" fontId="12" fillId="0" borderId="0" xfId="1" applyNumberFormat="1" applyFont="1"/>
    <xf numFmtId="0" fontId="2" fillId="0" borderId="43" xfId="1" applyBorder="1" applyAlignment="1">
      <alignment vertical="top" wrapText="1"/>
    </xf>
    <xf numFmtId="0" fontId="4" fillId="0" borderId="4" xfId="1" applyFont="1" applyBorder="1" applyAlignment="1">
      <alignment horizontal="center" vertical="center" wrapText="1"/>
    </xf>
    <xf numFmtId="0" fontId="2" fillId="0" borderId="0" xfId="1" applyAlignment="1">
      <alignment vertical="center"/>
    </xf>
    <xf numFmtId="0" fontId="9" fillId="0" borderId="0" xfId="1" applyFont="1" applyAlignment="1">
      <alignment horizontal="center" vertical="center" wrapText="1"/>
    </xf>
    <xf numFmtId="0" fontId="4" fillId="0" borderId="0" xfId="1" applyFont="1" applyAlignment="1">
      <alignment vertical="center"/>
    </xf>
    <xf numFmtId="0" fontId="8" fillId="0" borderId="0" xfId="1" applyFont="1"/>
    <xf numFmtId="0" fontId="38" fillId="0" borderId="0" xfId="1" applyFont="1"/>
    <xf numFmtId="0" fontId="39" fillId="0" borderId="0" xfId="1" applyFont="1"/>
    <xf numFmtId="0" fontId="9" fillId="0" borderId="0" xfId="1" applyFont="1"/>
    <xf numFmtId="165" fontId="12" fillId="0" borderId="0" xfId="1" applyNumberFormat="1" applyFont="1"/>
    <xf numFmtId="0" fontId="12" fillId="0" borderId="0" xfId="2" applyNumberFormat="1" applyFont="1"/>
    <xf numFmtId="0" fontId="1" fillId="6" borderId="2" xfId="0" applyFont="1" applyFill="1" applyBorder="1" applyAlignment="1">
      <alignment horizontal="center"/>
    </xf>
    <xf numFmtId="0" fontId="1" fillId="6" borderId="3" xfId="0" applyFont="1" applyFill="1" applyBorder="1" applyAlignment="1">
      <alignment horizontal="center"/>
    </xf>
    <xf numFmtId="0" fontId="13" fillId="0" borderId="0" xfId="0" applyFont="1" applyAlignment="1">
      <alignment horizontal="center"/>
    </xf>
    <xf numFmtId="0" fontId="13" fillId="0" borderId="19" xfId="0" applyFont="1" applyBorder="1" applyAlignment="1">
      <alignment horizontal="center"/>
    </xf>
    <xf numFmtId="0" fontId="0" fillId="0" borderId="0" xfId="0" applyAlignment="1">
      <alignment horizontal="center"/>
    </xf>
    <xf numFmtId="0" fontId="0" fillId="0" borderId="19"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1" fillId="0" borderId="0" xfId="0" applyFont="1"/>
    <xf numFmtId="0" fontId="1" fillId="6" borderId="1" xfId="0" applyFont="1" applyFill="1" applyBorder="1" applyAlignment="1">
      <alignment wrapText="1"/>
    </xf>
    <xf numFmtId="0" fontId="1" fillId="0" borderId="18" xfId="0" applyFont="1" applyBorder="1" applyAlignment="1">
      <alignment vertical="top" wrapText="1"/>
    </xf>
    <xf numFmtId="0" fontId="0" fillId="0" borderId="0" xfId="0" applyAlignment="1">
      <alignment vertical="top" wrapText="1"/>
    </xf>
    <xf numFmtId="0" fontId="5" fillId="0" borderId="0" xfId="1" applyFont="1" applyAlignment="1">
      <alignment horizontal="left" indent="3"/>
    </xf>
    <xf numFmtId="0" fontId="5" fillId="0" borderId="0" xfId="1" applyFont="1" applyAlignment="1">
      <alignment horizontal="left" indent="2"/>
    </xf>
    <xf numFmtId="0" fontId="2" fillId="0" borderId="0" xfId="1" applyAlignment="1">
      <alignment horizontal="left" indent="3"/>
    </xf>
    <xf numFmtId="0" fontId="5" fillId="0" borderId="0" xfId="1" quotePrefix="1" applyFont="1" applyAlignment="1">
      <alignment horizontal="left" indent="2"/>
    </xf>
    <xf numFmtId="0" fontId="42" fillId="0" borderId="0" xfId="0" applyFont="1"/>
    <xf numFmtId="0" fontId="42" fillId="0" borderId="19" xfId="0" applyFont="1" applyBorder="1"/>
    <xf numFmtId="2" fontId="8" fillId="0" borderId="0" xfId="0" applyNumberFormat="1" applyFont="1" applyAlignment="1">
      <alignment horizontal="center"/>
    </xf>
    <xf numFmtId="0" fontId="2" fillId="0" borderId="0" xfId="1" applyAlignment="1">
      <alignment horizontal="left" wrapText="1"/>
    </xf>
    <xf numFmtId="0" fontId="3" fillId="0" borderId="0" xfId="1" applyFont="1" applyAlignment="1">
      <alignment horizont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8" fillId="0" borderId="6" xfId="1" applyFont="1" applyBorder="1" applyAlignment="1">
      <alignment horizontal="right"/>
    </xf>
    <xf numFmtId="0" fontId="8" fillId="0" borderId="7" xfId="1" applyFont="1" applyBorder="1" applyAlignment="1">
      <alignment horizontal="center"/>
    </xf>
    <xf numFmtId="0" fontId="41" fillId="0" borderId="0" xfId="1" applyFont="1" applyAlignment="1">
      <alignment horizontal="center" vertical="center" wrapText="1"/>
    </xf>
    <xf numFmtId="0" fontId="7" fillId="2" borderId="4" xfId="1" applyFont="1" applyFill="1" applyBorder="1" applyAlignment="1">
      <alignment horizontal="center" vertical="center"/>
    </xf>
    <xf numFmtId="0" fontId="2" fillId="4" borderId="12" xfId="1" applyFill="1" applyBorder="1" applyAlignment="1">
      <alignment horizontal="right"/>
    </xf>
    <xf numFmtId="0" fontId="2" fillId="4" borderId="0" xfId="1" applyFill="1" applyAlignment="1">
      <alignment horizontal="right"/>
    </xf>
    <xf numFmtId="0" fontId="8" fillId="0" borderId="9" xfId="1" applyFont="1" applyBorder="1" applyAlignment="1">
      <alignment horizontal="right"/>
    </xf>
    <xf numFmtId="0" fontId="8" fillId="5" borderId="13" xfId="1" applyFont="1" applyFill="1" applyBorder="1" applyAlignment="1">
      <alignment horizontal="center"/>
    </xf>
    <xf numFmtId="0" fontId="8" fillId="5" borderId="14" xfId="1" applyFont="1" applyFill="1" applyBorder="1" applyAlignment="1">
      <alignment horizontal="center"/>
    </xf>
    <xf numFmtId="0" fontId="8" fillId="5" borderId="6" xfId="1" applyFont="1" applyFill="1" applyBorder="1" applyAlignment="1">
      <alignment horizontal="right"/>
    </xf>
    <xf numFmtId="0" fontId="7" fillId="2" borderId="35"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8" fillId="8" borderId="33" xfId="1" applyFont="1" applyFill="1" applyBorder="1" applyAlignment="1">
      <alignment horizontal="center" wrapText="1"/>
    </xf>
    <xf numFmtId="0" fontId="8" fillId="8" borderId="36" xfId="1" applyFont="1" applyFill="1" applyBorder="1" applyAlignment="1">
      <alignment horizontal="center" wrapText="1"/>
    </xf>
    <xf numFmtId="0" fontId="8" fillId="8" borderId="34" xfId="1" applyFont="1" applyFill="1" applyBorder="1" applyAlignment="1">
      <alignment horizontal="center" wrapText="1"/>
    </xf>
    <xf numFmtId="0" fontId="8" fillId="8" borderId="33" xfId="1" applyFont="1" applyFill="1" applyBorder="1" applyAlignment="1">
      <alignment horizontal="center"/>
    </xf>
    <xf numFmtId="0" fontId="8" fillId="8" borderId="36" xfId="1" applyFont="1" applyFill="1" applyBorder="1" applyAlignment="1">
      <alignment horizontal="center"/>
    </xf>
    <xf numFmtId="0" fontId="8" fillId="8" borderId="34" xfId="1" applyFont="1" applyFill="1" applyBorder="1" applyAlignment="1">
      <alignment horizontal="center"/>
    </xf>
    <xf numFmtId="0" fontId="2" fillId="0" borderId="10" xfId="1" applyBorder="1" applyAlignment="1">
      <alignment horizontal="center"/>
    </xf>
    <xf numFmtId="0" fontId="2" fillId="0" borderId="24" xfId="1" applyBorder="1" applyAlignment="1">
      <alignment horizontal="center"/>
    </xf>
    <xf numFmtId="0" fontId="2" fillId="0" borderId="11" xfId="1" applyBorder="1" applyAlignment="1">
      <alignment horizontal="center"/>
    </xf>
    <xf numFmtId="0" fontId="5" fillId="0" borderId="10" xfId="0" applyFont="1" applyBorder="1" applyAlignment="1">
      <alignment horizontal="center"/>
    </xf>
    <xf numFmtId="0" fontId="5" fillId="0" borderId="24" xfId="0" applyFont="1" applyBorder="1" applyAlignment="1">
      <alignment horizontal="center"/>
    </xf>
    <xf numFmtId="0" fontId="5" fillId="0" borderId="11" xfId="0" applyFont="1" applyBorder="1" applyAlignment="1">
      <alignment horizontal="center"/>
    </xf>
    <xf numFmtId="172" fontId="2" fillId="0" borderId="10" xfId="1" applyNumberFormat="1" applyBorder="1" applyAlignment="1">
      <alignment horizontal="center"/>
    </xf>
    <xf numFmtId="172" fontId="2" fillId="0" borderId="24" xfId="1" applyNumberFormat="1" applyBorder="1" applyAlignment="1">
      <alignment horizontal="center"/>
    </xf>
    <xf numFmtId="172" fontId="2" fillId="0" borderId="11" xfId="1" applyNumberFormat="1" applyBorder="1" applyAlignment="1">
      <alignment horizontal="center"/>
    </xf>
    <xf numFmtId="0" fontId="5" fillId="0" borderId="10" xfId="1" applyFont="1" applyBorder="1" applyAlignment="1">
      <alignment horizontal="center"/>
    </xf>
    <xf numFmtId="0" fontId="5" fillId="0" borderId="24" xfId="1" applyFont="1" applyBorder="1" applyAlignment="1">
      <alignment horizontal="center"/>
    </xf>
    <xf numFmtId="0" fontId="5" fillId="0" borderId="11" xfId="1" applyFont="1" applyBorder="1" applyAlignment="1">
      <alignment horizontal="center"/>
    </xf>
    <xf numFmtId="0" fontId="3" fillId="0" borderId="0" xfId="1" applyFont="1" applyAlignment="1">
      <alignment horizontal="center" vertical="center" wrapText="1"/>
    </xf>
    <xf numFmtId="0" fontId="2" fillId="0" borderId="23" xfId="1" applyBorder="1"/>
    <xf numFmtId="0" fontId="7" fillId="2" borderId="10"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11" xfId="1" applyFont="1" applyFill="1" applyBorder="1" applyAlignment="1">
      <alignment horizontal="center" vertical="center"/>
    </xf>
    <xf numFmtId="0" fontId="3" fillId="0" borderId="19" xfId="1" applyFont="1" applyBorder="1" applyAlignment="1">
      <alignment horizontal="center" wrapText="1"/>
    </xf>
  </cellXfs>
  <cellStyles count="4">
    <cellStyle name="Milliers 2" xfId="3" xr:uid="{14DF778F-BF78-4105-9F79-56F3B71B2726}"/>
    <cellStyle name="Normal" xfId="0" builtinId="0"/>
    <cellStyle name="Normal 2" xfId="1" xr:uid="{1305D279-0003-4F2D-ADD2-0ADB99325D28}"/>
    <cellStyle name="Pourcentage 2" xfId="2" xr:uid="{873D40F9-7A3E-471B-AB54-43AA811597AE}"/>
  </cellStyles>
  <dxfs count="19">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ont>
        <color theme="0"/>
      </font>
    </dxf>
    <dxf>
      <fill>
        <patternFill>
          <bgColor rgb="FFFF0000"/>
        </patternFill>
      </fill>
    </dxf>
    <dxf>
      <fill>
        <patternFill>
          <bgColor rgb="FFFFC000"/>
        </patternFill>
      </fill>
    </dxf>
    <dxf>
      <font>
        <color theme="0"/>
      </font>
    </dxf>
    <dxf>
      <font>
        <color theme="0"/>
      </font>
    </dxf>
    <dxf>
      <fill>
        <patternFill>
          <bgColor rgb="FFFF0000"/>
        </patternFill>
      </fill>
    </dxf>
    <dxf>
      <font>
        <color theme="0"/>
      </font>
    </dxf>
    <dxf>
      <fill>
        <patternFill>
          <bgColor rgb="FFFF0000"/>
        </patternFill>
      </fill>
    </dxf>
    <dxf>
      <fill>
        <patternFill>
          <bgColor rgb="FFFF0000"/>
        </patternFill>
      </fill>
    </dxf>
    <dxf>
      <fill>
        <patternFill patternType="none">
          <bgColor auto="1"/>
        </patternFill>
      </fill>
    </dxf>
    <dxf>
      <fill>
        <patternFill>
          <bgColor rgb="FFFF0000"/>
        </patternFill>
      </fill>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9525</xdr:rowOff>
    </xdr:from>
    <xdr:ext cx="539998" cy="539998"/>
    <xdr:pic>
      <xdr:nvPicPr>
        <xdr:cNvPr id="2" name="Picture 15" descr="IEC logo">
          <a:extLst>
            <a:ext uri="{FF2B5EF4-FFF2-40B4-BE49-F238E27FC236}">
              <a16:creationId xmlns:a16="http://schemas.microsoft.com/office/drawing/2014/main" id="{A218BB5F-A401-4267-8D6E-E6A5B31337C8}"/>
            </a:ext>
          </a:extLst>
        </xdr:cNvPr>
        <xdr:cNvPicPr>
          <a:picLocks noChangeAspect="1"/>
        </xdr:cNvPicPr>
      </xdr:nvPicPr>
      <xdr:blipFill>
        <a:blip xmlns:r="http://schemas.openxmlformats.org/officeDocument/2006/relationships" r:embed="rId1"/>
        <a:srcRect/>
        <a:stretch>
          <a:fillRect/>
        </a:stretch>
      </xdr:blipFill>
      <xdr:spPr>
        <a:xfrm>
          <a:off x="428625" y="180975"/>
          <a:ext cx="539998" cy="539998"/>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539998" cy="539998"/>
    <xdr:pic>
      <xdr:nvPicPr>
        <xdr:cNvPr id="2" name="Picture 15" descr="IEC logo">
          <a:extLst>
            <a:ext uri="{FF2B5EF4-FFF2-40B4-BE49-F238E27FC236}">
              <a16:creationId xmlns:a16="http://schemas.microsoft.com/office/drawing/2014/main" id="{76047C59-6949-49AD-B5BF-CE2556DD3A0B}"/>
            </a:ext>
          </a:extLst>
        </xdr:cNvPr>
        <xdr:cNvPicPr>
          <a:picLocks noChangeAspect="1"/>
        </xdr:cNvPicPr>
      </xdr:nvPicPr>
      <xdr:blipFill>
        <a:blip xmlns:r="http://schemas.openxmlformats.org/officeDocument/2006/relationships" r:embed="rId1"/>
        <a:srcRect/>
        <a:stretch>
          <a:fillRect/>
        </a:stretch>
      </xdr:blipFill>
      <xdr:spPr>
        <a:xfrm>
          <a:off x="771525" y="171450"/>
          <a:ext cx="539998" cy="539998"/>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9525</xdr:colOff>
      <xdr:row>1</xdr:row>
      <xdr:rowOff>9525</xdr:rowOff>
    </xdr:from>
    <xdr:ext cx="539998" cy="539998"/>
    <xdr:pic>
      <xdr:nvPicPr>
        <xdr:cNvPr id="2" name="Picture 15" descr="IEC logo">
          <a:extLst>
            <a:ext uri="{FF2B5EF4-FFF2-40B4-BE49-F238E27FC236}">
              <a16:creationId xmlns:a16="http://schemas.microsoft.com/office/drawing/2014/main" id="{13E628D3-D239-4080-8987-BAAC0DDA61CF}"/>
            </a:ext>
          </a:extLst>
        </xdr:cNvPr>
        <xdr:cNvPicPr>
          <a:picLocks noChangeAspect="1"/>
        </xdr:cNvPicPr>
      </xdr:nvPicPr>
      <xdr:blipFill>
        <a:blip xmlns:r="http://schemas.openxmlformats.org/officeDocument/2006/relationships" r:embed="rId1"/>
        <a:srcRect/>
        <a:stretch>
          <a:fillRect/>
        </a:stretch>
      </xdr:blipFill>
      <xdr:spPr>
        <a:xfrm>
          <a:off x="495300" y="180975"/>
          <a:ext cx="539998" cy="539998"/>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9525</xdr:rowOff>
    </xdr:from>
    <xdr:ext cx="539998" cy="539998"/>
    <xdr:pic>
      <xdr:nvPicPr>
        <xdr:cNvPr id="3" name="Picture 15" descr="IEC logo">
          <a:extLst>
            <a:ext uri="{FF2B5EF4-FFF2-40B4-BE49-F238E27FC236}">
              <a16:creationId xmlns:a16="http://schemas.microsoft.com/office/drawing/2014/main" id="{FE302D4B-3E92-4BA3-BB62-9A25D512E664}"/>
            </a:ext>
          </a:extLst>
        </xdr:cNvPr>
        <xdr:cNvPicPr>
          <a:picLocks noChangeAspect="1"/>
        </xdr:cNvPicPr>
      </xdr:nvPicPr>
      <xdr:blipFill>
        <a:blip xmlns:r="http://schemas.openxmlformats.org/officeDocument/2006/relationships" r:embed="rId1"/>
        <a:srcRect/>
        <a:stretch>
          <a:fillRect/>
        </a:stretch>
      </xdr:blipFill>
      <xdr:spPr>
        <a:xfrm>
          <a:off x="762000" y="209550"/>
          <a:ext cx="539998" cy="539998"/>
        </a:xfrm>
        <a:prstGeom prst="rect">
          <a:avLst/>
        </a:prstGeom>
        <a:noFill/>
        <a:ln>
          <a:noFill/>
        </a:ln>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12B76-2297-4BB8-85CD-BE3792BCEEBD}">
  <sheetPr codeName="Feuil1"/>
  <dimension ref="A1:C58"/>
  <sheetViews>
    <sheetView topLeftCell="A19" workbookViewId="0">
      <selection activeCell="P25" sqref="P25"/>
    </sheetView>
  </sheetViews>
  <sheetFormatPr defaultColWidth="11.453125" defaultRowHeight="12.5" x14ac:dyDescent="0.25"/>
  <cols>
    <col min="1" max="1" width="6.453125" style="1" customWidth="1"/>
    <col min="2" max="2" width="62.7265625" style="1" customWidth="1"/>
    <col min="3" max="3" width="34.26953125" style="1" customWidth="1"/>
    <col min="4" max="4" width="11.453125" style="1" customWidth="1"/>
    <col min="5" max="16384" width="11.453125" style="1"/>
  </cols>
  <sheetData>
    <row r="1" spans="1:3" ht="13" thickBot="1" x14ac:dyDescent="0.3"/>
    <row r="2" spans="1:3" ht="51" customHeight="1" thickBot="1" x14ac:dyDescent="0.3">
      <c r="B2" s="147"/>
      <c r="C2" s="148" t="s">
        <v>249</v>
      </c>
    </row>
    <row r="3" spans="1:3" ht="13" x14ac:dyDescent="0.25">
      <c r="B3" s="149"/>
      <c r="C3" s="150"/>
    </row>
    <row r="4" spans="1:3" ht="14" x14ac:dyDescent="0.25">
      <c r="B4" s="151" t="s">
        <v>202</v>
      </c>
    </row>
    <row r="8" spans="1:3" ht="13" x14ac:dyDescent="0.3">
      <c r="A8" s="152">
        <v>1</v>
      </c>
      <c r="B8" s="152" t="s">
        <v>203</v>
      </c>
    </row>
    <row r="9" spans="1:3" x14ac:dyDescent="0.25">
      <c r="B9" s="1" t="s">
        <v>260</v>
      </c>
    </row>
    <row r="10" spans="1:3" x14ac:dyDescent="0.25">
      <c r="B10" s="1" t="s">
        <v>261</v>
      </c>
    </row>
    <row r="12" spans="1:3" ht="13" x14ac:dyDescent="0.3">
      <c r="A12" s="152">
        <v>2</v>
      </c>
      <c r="B12" s="152" t="s">
        <v>204</v>
      </c>
    </row>
    <row r="13" spans="1:3" x14ac:dyDescent="0.25">
      <c r="B13" s="1" t="s">
        <v>216</v>
      </c>
    </row>
    <row r="14" spans="1:3" x14ac:dyDescent="0.25">
      <c r="B14" s="153" t="s">
        <v>205</v>
      </c>
    </row>
    <row r="15" spans="1:3" x14ac:dyDescent="0.25">
      <c r="B15" s="1" t="s">
        <v>206</v>
      </c>
    </row>
    <row r="16" spans="1:3" x14ac:dyDescent="0.25">
      <c r="B16" s="153" t="s">
        <v>207</v>
      </c>
    </row>
    <row r="17" spans="1:3" x14ac:dyDescent="0.25">
      <c r="B17" s="1" t="s">
        <v>255</v>
      </c>
    </row>
    <row r="18" spans="1:3" x14ac:dyDescent="0.25">
      <c r="B18" s="1" t="s">
        <v>208</v>
      </c>
    </row>
    <row r="19" spans="1:3" x14ac:dyDescent="0.25">
      <c r="B19" s="154" t="s">
        <v>209</v>
      </c>
      <c r="C19" s="4"/>
    </row>
    <row r="20" spans="1:3" x14ac:dyDescent="0.25">
      <c r="B20" s="4" t="s">
        <v>250</v>
      </c>
      <c r="C20" s="4"/>
    </row>
    <row r="21" spans="1:3" ht="13" x14ac:dyDescent="0.3">
      <c r="B21" s="155" t="s">
        <v>210</v>
      </c>
      <c r="C21" s="4"/>
    </row>
    <row r="22" spans="1:3" x14ac:dyDescent="0.25">
      <c r="B22" s="154" t="s">
        <v>217</v>
      </c>
      <c r="C22" s="4"/>
    </row>
    <row r="23" spans="1:3" x14ac:dyDescent="0.25">
      <c r="B23" s="4" t="s">
        <v>218</v>
      </c>
      <c r="C23" s="4"/>
    </row>
    <row r="24" spans="1:3" ht="13" x14ac:dyDescent="0.3">
      <c r="B24" s="155" t="s">
        <v>210</v>
      </c>
      <c r="C24" s="4"/>
    </row>
    <row r="25" spans="1:3" x14ac:dyDescent="0.25">
      <c r="B25" s="4"/>
      <c r="C25" s="4"/>
    </row>
    <row r="26" spans="1:3" ht="13" x14ac:dyDescent="0.3">
      <c r="A26" s="152">
        <v>3</v>
      </c>
      <c r="B26" s="155" t="s">
        <v>257</v>
      </c>
      <c r="C26" s="4"/>
    </row>
    <row r="27" spans="1:3" x14ac:dyDescent="0.25">
      <c r="B27" s="4" t="s">
        <v>258</v>
      </c>
      <c r="C27" s="4"/>
    </row>
    <row r="28" spans="1:3" x14ac:dyDescent="0.25">
      <c r="B28" s="171" t="s">
        <v>264</v>
      </c>
      <c r="C28" s="4"/>
    </row>
    <row r="29" spans="1:3" x14ac:dyDescent="0.25">
      <c r="B29" s="4" t="s">
        <v>265</v>
      </c>
      <c r="C29" s="4"/>
    </row>
    <row r="30" spans="1:3" x14ac:dyDescent="0.25">
      <c r="B30" s="171" t="s">
        <v>254</v>
      </c>
      <c r="C30" s="4"/>
    </row>
    <row r="31" spans="1:3" x14ac:dyDescent="0.25">
      <c r="B31" s="171" t="s">
        <v>276</v>
      </c>
      <c r="C31" s="4"/>
    </row>
    <row r="32" spans="1:3" x14ac:dyDescent="0.25">
      <c r="B32" s="171" t="s">
        <v>266</v>
      </c>
      <c r="C32" s="4"/>
    </row>
    <row r="33" spans="1:3" x14ac:dyDescent="0.25">
      <c r="B33" s="171" t="s">
        <v>267</v>
      </c>
      <c r="C33" s="4"/>
    </row>
    <row r="34" spans="1:3" x14ac:dyDescent="0.25">
      <c r="B34" s="172" t="s">
        <v>277</v>
      </c>
      <c r="C34" s="4"/>
    </row>
    <row r="35" spans="1:3" x14ac:dyDescent="0.25">
      <c r="B35" s="170" t="s">
        <v>268</v>
      </c>
      <c r="C35" s="4"/>
    </row>
    <row r="36" spans="1:3" x14ac:dyDescent="0.25">
      <c r="B36" s="172" t="s">
        <v>269</v>
      </c>
      <c r="C36" s="4"/>
    </row>
    <row r="37" spans="1:3" x14ac:dyDescent="0.25">
      <c r="B37" s="170" t="s">
        <v>270</v>
      </c>
      <c r="C37" s="4"/>
    </row>
    <row r="38" spans="1:3" x14ac:dyDescent="0.25">
      <c r="B38" s="170" t="s">
        <v>271</v>
      </c>
      <c r="C38" s="4"/>
    </row>
    <row r="39" spans="1:3" x14ac:dyDescent="0.25">
      <c r="B39" s="170" t="s">
        <v>272</v>
      </c>
      <c r="C39" s="4"/>
    </row>
    <row r="40" spans="1:3" x14ac:dyDescent="0.25">
      <c r="B40" s="4" t="s">
        <v>256</v>
      </c>
      <c r="C40" s="4"/>
    </row>
    <row r="41" spans="1:3" x14ac:dyDescent="0.25">
      <c r="C41" s="4"/>
    </row>
    <row r="42" spans="1:3" ht="13" x14ac:dyDescent="0.3">
      <c r="A42" s="152">
        <v>4</v>
      </c>
      <c r="B42" s="155" t="s">
        <v>211</v>
      </c>
      <c r="C42" s="4"/>
    </row>
    <row r="43" spans="1:3" ht="13" x14ac:dyDescent="0.3">
      <c r="A43" s="152"/>
      <c r="B43" s="4" t="s">
        <v>219</v>
      </c>
      <c r="C43" s="4"/>
    </row>
    <row r="44" spans="1:3" ht="13" x14ac:dyDescent="0.3">
      <c r="A44" s="152"/>
      <c r="B44" s="4" t="s">
        <v>212</v>
      </c>
      <c r="C44" s="4"/>
    </row>
    <row r="45" spans="1:3" ht="13" x14ac:dyDescent="0.3">
      <c r="A45" s="152"/>
      <c r="B45" s="173" t="s">
        <v>221</v>
      </c>
      <c r="C45" s="4"/>
    </row>
    <row r="46" spans="1:3" ht="13" x14ac:dyDescent="0.3">
      <c r="A46" s="152"/>
      <c r="B46" s="173" t="s">
        <v>262</v>
      </c>
      <c r="C46" s="4"/>
    </row>
    <row r="47" spans="1:3" ht="13" x14ac:dyDescent="0.3">
      <c r="A47" s="152"/>
      <c r="B47" s="173" t="s">
        <v>213</v>
      </c>
      <c r="C47" s="4"/>
    </row>
    <row r="48" spans="1:3" ht="13" x14ac:dyDescent="0.3">
      <c r="A48" s="152"/>
      <c r="B48" s="173" t="s">
        <v>220</v>
      </c>
      <c r="C48" s="4"/>
    </row>
    <row r="49" spans="1:3" ht="13" x14ac:dyDescent="0.3">
      <c r="A49" s="152"/>
      <c r="B49" s="173" t="s">
        <v>263</v>
      </c>
      <c r="C49" s="4"/>
    </row>
    <row r="50" spans="1:3" ht="13" x14ac:dyDescent="0.3">
      <c r="A50" s="152"/>
      <c r="B50" s="173" t="s">
        <v>259</v>
      </c>
      <c r="C50" s="4"/>
    </row>
    <row r="51" spans="1:3" ht="13" x14ac:dyDescent="0.3">
      <c r="A51" s="152"/>
      <c r="B51" s="173" t="s">
        <v>251</v>
      </c>
      <c r="C51" s="4"/>
    </row>
    <row r="52" spans="1:3" ht="13" x14ac:dyDescent="0.3">
      <c r="A52" s="152"/>
      <c r="B52" s="173" t="s">
        <v>252</v>
      </c>
      <c r="C52" s="4"/>
    </row>
    <row r="53" spans="1:3" ht="13" x14ac:dyDescent="0.3">
      <c r="A53" s="152"/>
      <c r="B53" s="173" t="s">
        <v>253</v>
      </c>
      <c r="C53" s="4"/>
    </row>
    <row r="54" spans="1:3" ht="13" x14ac:dyDescent="0.3">
      <c r="A54" s="152"/>
      <c r="B54" s="4"/>
      <c r="C54" s="4"/>
    </row>
    <row r="55" spans="1:3" ht="13" x14ac:dyDescent="0.3">
      <c r="A55" s="152">
        <v>5</v>
      </c>
      <c r="B55" s="152" t="s">
        <v>214</v>
      </c>
    </row>
    <row r="56" spans="1:3" ht="42" customHeight="1" x14ac:dyDescent="0.25">
      <c r="B56" s="177" t="s">
        <v>215</v>
      </c>
      <c r="C56" s="177"/>
    </row>
    <row r="58" spans="1:3" ht="39.75" customHeight="1" x14ac:dyDescent="0.25"/>
  </sheetData>
  <mergeCells count="1">
    <mergeCell ref="B56:C56"/>
  </mergeCells>
  <pageMargins left="0.23622047244094491" right="0.23622047244094491" top="2.1259842519685042" bottom="0.74803149606299213" header="0.31496062992125984" footer="0.31496062992125984"/>
  <pageSetup paperSize="9" scale="88" fitToWidth="0" fitToHeight="0" orientation="portrait" r:id="rId1"/>
  <headerFooter>
    <oddHeader>&amp;C&amp;F</oddHeader>
    <oddFooter>&amp;CIEC 61282-14 Supplemental Data for Section 8</oddFooter>
    <evenHeader>&amp;C&amp;F</evenHeader>
    <evenFooter>&amp;CIEC 61282-14 Supplemental Data for Section 8</evenFooter>
    <firstHeader>&amp;C&amp;F</firstHeader>
    <firstFooter>&amp;CIEC 61282-14 Supplemental Data for Section 8</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77ECC-24A9-429C-B200-0A44AE752EEC}">
  <sheetPr codeName="Feuil2"/>
  <dimension ref="A1:AB53"/>
  <sheetViews>
    <sheetView tabSelected="1" zoomScale="70" zoomScaleNormal="70" workbookViewId="0">
      <selection activeCell="J12" sqref="J12"/>
    </sheetView>
  </sheetViews>
  <sheetFormatPr defaultColWidth="11.453125" defaultRowHeight="12.5" x14ac:dyDescent="0.25"/>
  <cols>
    <col min="1" max="1" width="11.453125" style="1" customWidth="1"/>
    <col min="2" max="2" width="80.54296875" style="1" customWidth="1"/>
    <col min="3" max="4" width="12.26953125" style="1" customWidth="1"/>
    <col min="5" max="5" width="4.7265625" style="1" customWidth="1"/>
    <col min="6" max="6" width="13.26953125" style="1" customWidth="1"/>
    <col min="7" max="7" width="6" style="1" customWidth="1"/>
    <col min="8" max="8" width="6.54296875" style="1" customWidth="1"/>
    <col min="9" max="9" width="11.453125" style="1" customWidth="1"/>
    <col min="10" max="10" width="5.7265625" style="1" customWidth="1"/>
    <col min="11" max="11" width="11.453125" style="1" customWidth="1"/>
    <col min="12" max="12" width="13.26953125" style="1" customWidth="1"/>
    <col min="13" max="15" width="11.453125" style="1" customWidth="1"/>
    <col min="16" max="16384" width="11.453125" style="1"/>
  </cols>
  <sheetData>
    <row r="1" spans="2:28" ht="13" thickBot="1" x14ac:dyDescent="0.3"/>
    <row r="2" spans="2:28" ht="37.5" customHeight="1" thickBot="1" x14ac:dyDescent="0.45">
      <c r="B2" s="178" t="s">
        <v>247</v>
      </c>
      <c r="C2" s="178"/>
      <c r="D2" s="178"/>
      <c r="E2" s="178"/>
      <c r="F2" s="178"/>
      <c r="G2" s="3"/>
      <c r="H2" s="3"/>
      <c r="I2" s="179" t="s">
        <v>246</v>
      </c>
      <c r="J2" s="180"/>
      <c r="K2" s="180"/>
      <c r="L2" s="181"/>
      <c r="N2" s="4"/>
      <c r="O2" s="4"/>
      <c r="P2" s="4"/>
      <c r="Q2" s="4"/>
      <c r="R2" s="4"/>
      <c r="S2" s="4"/>
      <c r="T2" s="4"/>
      <c r="U2" s="4"/>
      <c r="V2" s="4"/>
      <c r="W2" s="4"/>
      <c r="X2" s="4"/>
      <c r="Y2" s="4"/>
      <c r="Z2" s="4"/>
      <c r="AA2" s="4"/>
      <c r="AB2" s="4"/>
    </row>
    <row r="3" spans="2:28" ht="17.25" customHeight="1" thickBot="1" x14ac:dyDescent="0.3">
      <c r="B3" s="184" t="str">
        <f>"Method: "&amp;J6&amp;", "&amp;INDEX(Setup_tables!C$17:S$17,1,MATCH(J$6,Setup_tables!C$16:S$16,0))&amp;"; Connectors: "&amp;INDEX(Setup_tables!C$32:O$32,1,MATCH(J$7,Setup_tables!C$31:O$31,0))</f>
        <v>Method: SM-1 cord, IEC 61280-4-2 Ed3 Annex A; Connectors: SM SF Grade 2 PC</v>
      </c>
      <c r="C3" s="184"/>
      <c r="D3" s="184"/>
      <c r="E3" s="184"/>
      <c r="F3" s="184"/>
      <c r="G3" s="3"/>
      <c r="H3" s="3"/>
      <c r="I3" s="24"/>
      <c r="J3" s="24"/>
      <c r="K3" s="24"/>
      <c r="L3" s="24"/>
      <c r="N3" s="4"/>
      <c r="O3" s="4"/>
      <c r="P3" s="4"/>
      <c r="Q3" s="4"/>
      <c r="R3" s="4"/>
      <c r="S3" s="4"/>
      <c r="T3" s="4"/>
      <c r="U3" s="4"/>
      <c r="V3" s="4"/>
      <c r="W3" s="4"/>
      <c r="X3" s="4"/>
      <c r="Y3" s="4"/>
      <c r="Z3" s="4"/>
      <c r="AA3" s="4"/>
      <c r="AB3" s="4"/>
    </row>
    <row r="4" spans="2:28" ht="12.75" customHeight="1" thickBot="1" x14ac:dyDescent="0.3">
      <c r="B4" s="5"/>
      <c r="C4" s="2"/>
      <c r="D4" s="2"/>
      <c r="E4" s="2"/>
      <c r="F4" s="185" t="s">
        <v>25</v>
      </c>
      <c r="G4" s="185"/>
      <c r="H4" s="185"/>
      <c r="I4" s="185"/>
      <c r="J4" s="185"/>
      <c r="K4" s="185"/>
      <c r="L4" s="2"/>
      <c r="N4" s="4"/>
      <c r="O4" s="4"/>
      <c r="P4" s="4"/>
      <c r="Q4" s="4"/>
      <c r="R4" s="4"/>
      <c r="S4" s="4"/>
      <c r="T4" s="4"/>
      <c r="U4" s="4"/>
      <c r="V4" s="4"/>
      <c r="W4" s="4"/>
      <c r="X4" s="4"/>
      <c r="Y4" s="4"/>
      <c r="Z4" s="4"/>
      <c r="AA4" s="4"/>
      <c r="AB4" s="4"/>
    </row>
    <row r="5" spans="2:28" ht="15" thickBot="1" x14ac:dyDescent="0.4">
      <c r="B5"/>
      <c r="F5" s="182" t="s">
        <v>49</v>
      </c>
      <c r="G5" s="182"/>
      <c r="H5" s="182"/>
      <c r="I5" s="182"/>
      <c r="J5" s="183" t="s">
        <v>23</v>
      </c>
      <c r="K5" s="183"/>
      <c r="N5" s="4"/>
      <c r="O5" s="4"/>
      <c r="P5" s="4"/>
      <c r="Q5" s="4"/>
      <c r="R5" s="4"/>
      <c r="S5" s="4"/>
      <c r="T5" s="4"/>
      <c r="U5" s="4"/>
      <c r="V5" s="4"/>
      <c r="W5" s="4"/>
      <c r="X5" s="4"/>
      <c r="Y5" s="4"/>
      <c r="Z5" s="4"/>
      <c r="AA5" s="4"/>
      <c r="AB5" s="4"/>
    </row>
    <row r="6" spans="2:28" ht="15.75" customHeight="1" thickBot="1" x14ac:dyDescent="0.45">
      <c r="B6"/>
      <c r="C6" s="125" t="s">
        <v>150</v>
      </c>
      <c r="D6" s="126" t="s">
        <v>151</v>
      </c>
      <c r="E6" s="25">
        <f ca="1">IF(ISNUMBER(MATCH(J6,INDIRECT(SUBSTITUTE(J5,"-","_")),0)),1,0)</f>
        <v>1</v>
      </c>
      <c r="F6" s="182" t="s">
        <v>26</v>
      </c>
      <c r="G6" s="182"/>
      <c r="H6" s="182"/>
      <c r="I6" s="182"/>
      <c r="J6" s="183" t="s">
        <v>0</v>
      </c>
      <c r="K6" s="183"/>
      <c r="M6" s="6"/>
      <c r="N6" s="4"/>
      <c r="O6" s="4"/>
      <c r="P6" s="4"/>
      <c r="Q6" s="4"/>
      <c r="R6" s="4"/>
      <c r="S6" s="4"/>
      <c r="T6" s="4"/>
      <c r="U6" s="4"/>
      <c r="V6" s="4"/>
      <c r="W6" s="4"/>
      <c r="X6" s="4"/>
      <c r="Y6" s="4"/>
      <c r="Z6" s="4"/>
      <c r="AA6" s="4"/>
      <c r="AB6" s="4"/>
    </row>
    <row r="7" spans="2:28" ht="15.75" customHeight="1" thickBot="1" x14ac:dyDescent="0.4">
      <c r="B7" s="124" t="str">
        <f>B22</f>
        <v>Uncertainties due to measuring instruments</v>
      </c>
      <c r="C7" s="127">
        <f>K34</f>
        <v>1.8057862078901732</v>
      </c>
      <c r="D7" s="86">
        <f>C7^2</f>
        <v>3.2608638286063716</v>
      </c>
      <c r="E7" s="25">
        <f ca="1">IF(ISNUMBER(MATCH(J7,INDIRECT(SUBSTITUTE(J5,"-","")),0)),1,0)</f>
        <v>1</v>
      </c>
      <c r="F7" s="182" t="s">
        <v>27</v>
      </c>
      <c r="G7" s="182"/>
      <c r="H7" s="182"/>
      <c r="I7" s="182"/>
      <c r="J7" s="183" t="s">
        <v>279</v>
      </c>
      <c r="K7" s="183"/>
      <c r="M7" s="7"/>
      <c r="N7" s="4"/>
      <c r="O7" s="4"/>
      <c r="P7" s="4"/>
      <c r="Q7" s="4"/>
      <c r="R7" s="4"/>
      <c r="S7" s="4"/>
      <c r="T7" s="4"/>
      <c r="U7" s="4"/>
      <c r="V7" s="4"/>
      <c r="W7" s="4"/>
      <c r="X7" s="4"/>
      <c r="Y7" s="4"/>
      <c r="Z7" s="4"/>
      <c r="AA7" s="4"/>
      <c r="AB7" s="4"/>
    </row>
    <row r="8" spans="2:28" ht="15.75" customHeight="1" thickBot="1" x14ac:dyDescent="0.4">
      <c r="B8" s="124" t="str">
        <f>B36</f>
        <v>Relative uncertainty due to the setup</v>
      </c>
      <c r="C8" s="127">
        <f>K41</f>
        <v>0</v>
      </c>
      <c r="D8" s="86">
        <f>C8^2</f>
        <v>0</v>
      </c>
      <c r="E8" s="25"/>
      <c r="F8" s="182" t="s">
        <v>28</v>
      </c>
      <c r="G8" s="188"/>
      <c r="H8" s="188"/>
      <c r="I8" s="188"/>
      <c r="J8" s="183">
        <v>1</v>
      </c>
      <c r="K8" s="183"/>
      <c r="T8" s="4"/>
      <c r="U8" s="4"/>
      <c r="V8" s="4"/>
      <c r="W8" s="4"/>
      <c r="X8" s="4"/>
      <c r="Y8" s="4"/>
      <c r="Z8" s="4"/>
      <c r="AA8" s="4"/>
      <c r="AB8" s="4"/>
    </row>
    <row r="9" spans="2:28" ht="15.75" customHeight="1" thickBot="1" x14ac:dyDescent="0.4">
      <c r="B9" s="124" t="str">
        <f>B43</f>
        <v>Relative uncertainties due to cabling</v>
      </c>
      <c r="C9" s="127">
        <f>K49</f>
        <v>3.3522910289084389</v>
      </c>
      <c r="D9" s="86">
        <f>C9^2</f>
        <v>11.237855142499999</v>
      </c>
      <c r="E9" s="25">
        <f>IF(OR(J9&lt;INDEX(Setup_tables!C$22:S$22,1,MATCH(J$6,Setup_tables!C$16:S$16,0)),J9&gt;INDEX(Setup_tables!C$23:S$23,1,MATCH(J$6,Setup_tables!C$16:S$16,0))),0,1)</f>
        <v>1</v>
      </c>
      <c r="F9" s="182" t="str">
        <f>INDEX(Setup_tables!C$21:S$21,1,MATCH(J$6,Setup_tables!C$16:S$16,0))&amp;" wavelength ("&amp;INDEX(Setup_tables!C$22:S$22,1,MATCH(J$6,Setup_tables!C$16:S$16,0))&amp;" to "&amp;INDEX(Setup_tables!C$23:S$23,1,MATCH(J$6,Setup_tables!C$16:S$16,0))&amp;" nm):"</f>
        <v>Source wavelength (1285 to 1675 nm):</v>
      </c>
      <c r="G9" s="182"/>
      <c r="H9" s="182"/>
      <c r="I9" s="182"/>
      <c r="J9" s="8">
        <v>1310</v>
      </c>
      <c r="K9" s="9" t="s">
        <v>29</v>
      </c>
      <c r="N9" s="4"/>
      <c r="O9" s="4"/>
      <c r="P9" s="10"/>
      <c r="Q9" s="4"/>
      <c r="R9" s="4"/>
      <c r="S9" s="4"/>
      <c r="T9" s="4"/>
      <c r="U9" s="4"/>
      <c r="V9" s="4"/>
      <c r="W9" s="4"/>
      <c r="X9" s="4"/>
      <c r="Y9" s="4"/>
      <c r="Z9" s="4"/>
      <c r="AA9" s="4"/>
      <c r="AB9" s="4"/>
    </row>
    <row r="10" spans="2:28" ht="15.75" customHeight="1" thickBot="1" x14ac:dyDescent="0.35">
      <c r="B10" s="87" t="s">
        <v>235</v>
      </c>
      <c r="C10" s="88"/>
      <c r="D10" s="89">
        <f>SQRT((D7)+(D8)+(D9))</f>
        <v>3.8077183418822313</v>
      </c>
      <c r="E10" s="44"/>
      <c r="F10" s="182" t="s">
        <v>30</v>
      </c>
      <c r="G10" s="182"/>
      <c r="H10" s="182"/>
      <c r="I10" s="182"/>
      <c r="J10" s="11">
        <f>INDEX(Setup_tables!C$24:S$24,1,MATCH(J$6,Setup_tables!C$16:S$16,0))</f>
        <v>30</v>
      </c>
      <c r="K10" s="12" t="s">
        <v>29</v>
      </c>
      <c r="L10" s="13"/>
      <c r="M10" s="14"/>
      <c r="N10" s="4"/>
      <c r="O10" s="4"/>
      <c r="P10" s="10"/>
      <c r="Q10" s="4"/>
      <c r="R10" s="4"/>
      <c r="S10" s="4"/>
      <c r="T10" s="4"/>
      <c r="U10" s="4"/>
      <c r="V10" s="4"/>
      <c r="W10" s="4"/>
      <c r="X10" s="4"/>
      <c r="Y10" s="4"/>
      <c r="Z10" s="4"/>
      <c r="AA10" s="4"/>
      <c r="AB10" s="4"/>
    </row>
    <row r="11" spans="2:28" ht="15.75" customHeight="1" thickBot="1" x14ac:dyDescent="0.35">
      <c r="B11" s="90" t="s">
        <v>149</v>
      </c>
      <c r="C11" s="91"/>
      <c r="D11" s="92">
        <f>IF(L53&gt;49,2,IF(ROUNDDOWN(L53,0)-L53=0,TINV(0.05,L53),(L53-ROUNDDOWN(L53,0))*(TINV(0.05,ROUNDUP(L53,0))-TINV(0.05,ROUNDDOWN(L53,0)))/(ROUNDUP(L53,0)-ROUNDDOWN(L53,0))+TINV(0.05,ROUNDDOWN(L53,0))))</f>
        <v>2</v>
      </c>
      <c r="E11" s="25"/>
      <c r="F11" s="182" t="s">
        <v>31</v>
      </c>
      <c r="G11" s="182"/>
      <c r="H11" s="182"/>
      <c r="I11" s="182"/>
      <c r="J11" s="15">
        <v>3.5</v>
      </c>
      <c r="K11" s="12" t="s">
        <v>32</v>
      </c>
      <c r="L11" s="13"/>
      <c r="M11" s="14"/>
      <c r="N11" s="4"/>
      <c r="O11" s="4"/>
      <c r="P11" s="10"/>
      <c r="Q11" s="4"/>
      <c r="R11" s="4"/>
      <c r="S11" s="4"/>
      <c r="T11" s="4"/>
      <c r="U11" s="4"/>
      <c r="V11" s="4"/>
      <c r="W11" s="4"/>
      <c r="X11" s="4"/>
      <c r="Y11" s="4"/>
      <c r="Z11" s="4"/>
      <c r="AA11" s="4"/>
      <c r="AB11" s="4"/>
    </row>
    <row r="12" spans="2:28" ht="15.75" customHeight="1" thickBot="1" x14ac:dyDescent="0.35">
      <c r="B12" s="93" t="s">
        <v>236</v>
      </c>
      <c r="C12" s="94"/>
      <c r="D12" s="95">
        <f>D11*D10</f>
        <v>7.6154366837644627</v>
      </c>
      <c r="E12" s="157">
        <f>IF(J12&gt;INDEX(Setup_tables!C$26:S$26,1,MATCH(J$6,Setup_tables!C$16:S$16,0)),0,1)</f>
        <v>1</v>
      </c>
      <c r="F12" s="182" t="str">
        <f>"Fibre length: (0,1 to "&amp;INDEX(Setup_tables!C$26:S$26,1,MATCH(J$6,Setup_tables!C$16:S$16,0))&amp;" km):"</f>
        <v>Fibre length: (0,1 to 120 km):</v>
      </c>
      <c r="G12" s="182"/>
      <c r="H12" s="182"/>
      <c r="I12" s="182"/>
      <c r="J12" s="15">
        <v>2</v>
      </c>
      <c r="K12" s="12" t="s">
        <v>33</v>
      </c>
      <c r="L12" s="13"/>
      <c r="M12" s="14"/>
      <c r="N12" s="16"/>
      <c r="O12" s="16"/>
      <c r="P12" s="10"/>
      <c r="Q12" s="4"/>
      <c r="R12" s="4"/>
      <c r="S12" s="4"/>
      <c r="T12" s="4"/>
      <c r="U12" s="4"/>
      <c r="V12" s="4"/>
      <c r="W12" s="4"/>
      <c r="X12" s="4"/>
      <c r="Y12" s="4"/>
      <c r="Z12" s="4"/>
      <c r="AA12" s="4"/>
      <c r="AB12" s="4"/>
    </row>
    <row r="13" spans="2:28" ht="15.75" customHeight="1" thickBot="1" x14ac:dyDescent="0.35">
      <c r="B13" s="128" t="s">
        <v>34</v>
      </c>
      <c r="C13" s="129" t="s">
        <v>35</v>
      </c>
      <c r="D13" s="96">
        <f ca="1">IF(J20="Yes",D12,"NA")</f>
        <v>7.6154366837644627</v>
      </c>
      <c r="E13" s="25"/>
      <c r="F13" s="182" t="s">
        <v>36</v>
      </c>
      <c r="G13" s="188"/>
      <c r="H13" s="188"/>
      <c r="I13" s="188"/>
      <c r="J13" s="15">
        <f>INDEX(Setup_tables!C$25:S$25,1,MATCH(J$6,Setup_tables!C$16:S$16,0))</f>
        <v>10</v>
      </c>
      <c r="K13" s="12" t="s">
        <v>32</v>
      </c>
      <c r="L13" s="186" t="s">
        <v>37</v>
      </c>
      <c r="M13" s="187"/>
      <c r="N13" s="17">
        <f>5*(LOG10(1+10^((-1)*J13/5))-LOG10(1-10^((-1)*J13/5)))</f>
        <v>4.3430895925463328E-2</v>
      </c>
      <c r="O13" s="18" t="s">
        <v>32</v>
      </c>
      <c r="P13" s="10"/>
      <c r="Q13" s="4"/>
      <c r="R13" s="4"/>
      <c r="S13" s="4"/>
      <c r="T13" s="4"/>
      <c r="U13" s="4"/>
      <c r="V13" s="4"/>
      <c r="W13" s="4"/>
      <c r="X13" s="4"/>
      <c r="Y13" s="4"/>
      <c r="Z13" s="4"/>
      <c r="AA13" s="4"/>
      <c r="AB13" s="4"/>
    </row>
    <row r="14" spans="2:28" ht="15.75" customHeight="1" thickBot="1" x14ac:dyDescent="0.35">
      <c r="C14" s="107" t="s">
        <v>32</v>
      </c>
      <c r="D14" s="176">
        <f ca="1">IF(J20="yes",0.0434*D13,"NA")</f>
        <v>0.3305099520753777</v>
      </c>
      <c r="E14" s="45"/>
      <c r="F14" s="182" t="s">
        <v>38</v>
      </c>
      <c r="G14" s="188"/>
      <c r="H14" s="188"/>
      <c r="I14" s="188"/>
      <c r="J14" s="15">
        <v>100</v>
      </c>
      <c r="K14" s="12" t="s">
        <v>39</v>
      </c>
      <c r="L14" s="18"/>
      <c r="M14" s="18"/>
      <c r="N14" s="18"/>
      <c r="O14" s="18"/>
      <c r="P14" s="21"/>
      <c r="Q14" s="4"/>
      <c r="R14" s="4"/>
      <c r="S14" s="4"/>
      <c r="T14" s="4"/>
      <c r="U14" s="4"/>
      <c r="V14" s="4"/>
      <c r="W14" s="4"/>
      <c r="X14" s="4"/>
      <c r="Y14" s="4"/>
      <c r="Z14" s="4"/>
      <c r="AA14" s="4"/>
      <c r="AB14" s="4"/>
    </row>
    <row r="15" spans="2:28" ht="13.5" thickBot="1" x14ac:dyDescent="0.35">
      <c r="B15" s="1" t="str">
        <f ca="1">IF(AND(J6="Method C",OR(J20="YES",J20="Assymetrical noise")),"Over evaluation versus measurement at 1550 nm","")</f>
        <v/>
      </c>
      <c r="C15" s="1" t="str">
        <f ca="1">IF(AND(J6="Method C",OR(J20="YES",J20="Assymetrical noise")),"dB","")</f>
        <v/>
      </c>
      <c r="D15" s="1" t="str">
        <f ca="1">IF(AND(J6="Method C",OR(J20="YES",J20="Assymetrical noise")),IF(J9&lt;1637,0.014*J12,0.039*J12),"")</f>
        <v/>
      </c>
      <c r="E15" s="25"/>
      <c r="F15" s="182" t="s">
        <v>40</v>
      </c>
      <c r="G15" s="188"/>
      <c r="H15" s="188"/>
      <c r="I15" s="188"/>
      <c r="J15" s="15">
        <v>1</v>
      </c>
      <c r="K15" s="12" t="s">
        <v>39</v>
      </c>
      <c r="L15" s="186" t="s">
        <v>41</v>
      </c>
      <c r="M15" s="187"/>
      <c r="N15" s="22">
        <f>TRUNC(J14/J15)</f>
        <v>100</v>
      </c>
      <c r="O15" s="18"/>
      <c r="P15" s="4"/>
      <c r="Q15" s="4"/>
      <c r="R15" s="4"/>
      <c r="S15" s="4"/>
      <c r="T15" s="4"/>
      <c r="U15" s="4"/>
      <c r="V15" s="4"/>
      <c r="W15" s="4"/>
      <c r="X15" s="4"/>
      <c r="Y15" s="4"/>
      <c r="Z15" s="4"/>
      <c r="AA15" s="4"/>
      <c r="AB15" s="4"/>
    </row>
    <row r="16" spans="2:28" ht="13.5" thickBot="1" x14ac:dyDescent="0.35">
      <c r="E16" s="25"/>
      <c r="F16" s="182" t="s">
        <v>42</v>
      </c>
      <c r="G16" s="182"/>
      <c r="H16" s="182"/>
      <c r="I16" s="182"/>
      <c r="J16" s="183">
        <v>1</v>
      </c>
      <c r="K16" s="183"/>
      <c r="P16" s="4"/>
      <c r="Q16" s="4"/>
      <c r="R16" s="4"/>
      <c r="S16" s="4"/>
      <c r="T16" s="4"/>
      <c r="U16" s="4"/>
      <c r="V16" s="4"/>
      <c r="W16" s="4"/>
      <c r="X16" s="4"/>
      <c r="Y16" s="4"/>
      <c r="Z16" s="4"/>
      <c r="AA16" s="4"/>
      <c r="AB16" s="4"/>
    </row>
    <row r="17" spans="1:28" ht="13.5" thickBot="1" x14ac:dyDescent="0.35">
      <c r="E17" s="25"/>
      <c r="F17" s="182" t="s">
        <v>43</v>
      </c>
      <c r="G17" s="188"/>
      <c r="H17" s="188"/>
      <c r="I17" s="188"/>
      <c r="J17" s="15">
        <v>0.1</v>
      </c>
      <c r="K17" s="12" t="s">
        <v>32</v>
      </c>
      <c r="P17" s="4"/>
      <c r="Q17" s="4"/>
      <c r="R17" s="4"/>
      <c r="S17" s="4"/>
      <c r="T17" s="4"/>
      <c r="U17" s="4"/>
      <c r="V17" s="4"/>
      <c r="W17" s="4"/>
      <c r="X17" s="4"/>
      <c r="Y17" s="4"/>
      <c r="Z17" s="4"/>
      <c r="AA17" s="4"/>
      <c r="AB17" s="4"/>
    </row>
    <row r="18" spans="1:28" ht="13.5" thickBot="1" x14ac:dyDescent="0.35">
      <c r="E18" s="25"/>
      <c r="F18" s="182" t="s">
        <v>44</v>
      </c>
      <c r="G18" s="182"/>
      <c r="H18" s="182"/>
      <c r="I18" s="182"/>
      <c r="J18" s="15">
        <v>-10</v>
      </c>
      <c r="K18" s="12" t="s">
        <v>45</v>
      </c>
      <c r="L18" s="13"/>
      <c r="M18" s="13"/>
      <c r="N18" s="23"/>
      <c r="P18" s="4"/>
      <c r="Q18" s="4"/>
      <c r="R18" s="4"/>
      <c r="S18" s="4"/>
      <c r="T18" s="4"/>
      <c r="U18" s="4"/>
      <c r="V18" s="4"/>
      <c r="W18" s="4"/>
      <c r="X18" s="4"/>
      <c r="Y18" s="4"/>
      <c r="Z18" s="4"/>
      <c r="AA18" s="4"/>
      <c r="AB18" s="4"/>
    </row>
    <row r="19" spans="1:28" ht="15.75" customHeight="1" thickBot="1" x14ac:dyDescent="0.35">
      <c r="D19" s="20"/>
      <c r="E19" s="25"/>
      <c r="L19" s="13"/>
      <c r="M19" s="13"/>
      <c r="N19" s="23"/>
      <c r="P19" s="4"/>
      <c r="Q19" s="4"/>
      <c r="R19" s="4"/>
      <c r="S19" s="4"/>
      <c r="T19" s="4"/>
      <c r="U19" s="4"/>
      <c r="V19" s="4"/>
      <c r="W19" s="4"/>
      <c r="X19" s="4"/>
      <c r="Y19" s="4"/>
      <c r="Z19" s="4"/>
      <c r="AA19" s="4"/>
      <c r="AB19" s="4"/>
    </row>
    <row r="20" spans="1:28" ht="15.75" customHeight="1" thickBot="1" x14ac:dyDescent="0.35">
      <c r="D20" s="20"/>
      <c r="E20" s="156">
        <f ca="1">E6*E7*E9*E12</f>
        <v>1</v>
      </c>
      <c r="F20" s="191" t="s">
        <v>46</v>
      </c>
      <c r="G20" s="191"/>
      <c r="H20" s="191"/>
      <c r="I20" s="191"/>
      <c r="J20" s="189" t="str">
        <f ca="1">IF(E20=1,"Yes","No")</f>
        <v>Yes</v>
      </c>
      <c r="K20" s="190"/>
      <c r="L20" s="13"/>
      <c r="M20" s="13"/>
      <c r="N20" s="23"/>
      <c r="P20" s="4"/>
      <c r="Q20" s="4"/>
      <c r="R20" s="4"/>
      <c r="S20" s="4"/>
      <c r="T20" s="4"/>
      <c r="U20" s="4"/>
      <c r="V20" s="4"/>
      <c r="W20" s="4"/>
      <c r="X20" s="4"/>
      <c r="Y20" s="4"/>
      <c r="Z20" s="4"/>
      <c r="AA20" s="4"/>
      <c r="AB20" s="4"/>
    </row>
    <row r="21" spans="1:28" x14ac:dyDescent="0.25">
      <c r="N21" s="4"/>
      <c r="O21" s="4"/>
      <c r="P21" s="4"/>
      <c r="Q21" s="4"/>
      <c r="R21" s="4"/>
      <c r="S21" s="4"/>
    </row>
    <row r="22" spans="1:28" ht="14.5" x14ac:dyDescent="0.35">
      <c r="B22" s="106" t="s">
        <v>152</v>
      </c>
      <c r="C22" s="107"/>
      <c r="D22" s="107"/>
      <c r="E22"/>
      <c r="F22"/>
      <c r="G22"/>
      <c r="H22"/>
      <c r="I22"/>
      <c r="J22"/>
      <c r="K22"/>
      <c r="L22"/>
      <c r="N22" s="4"/>
      <c r="O22" s="4"/>
      <c r="P22" s="4"/>
      <c r="Q22" s="4"/>
      <c r="R22" s="4"/>
      <c r="S22" s="4"/>
    </row>
    <row r="23" spans="1:28" ht="52" x14ac:dyDescent="0.25">
      <c r="A23" s="25" t="s">
        <v>183</v>
      </c>
      <c r="B23" s="108" t="s">
        <v>81</v>
      </c>
      <c r="C23" s="109" t="s">
        <v>153</v>
      </c>
      <c r="D23" s="109" t="s">
        <v>82</v>
      </c>
      <c r="E23" s="108" t="s">
        <v>83</v>
      </c>
      <c r="F23" s="109" t="s">
        <v>84</v>
      </c>
      <c r="G23" s="109" t="s">
        <v>154</v>
      </c>
      <c r="H23" s="109" t="s">
        <v>85</v>
      </c>
      <c r="I23" s="109" t="s">
        <v>155</v>
      </c>
      <c r="J23" s="110" t="s">
        <v>156</v>
      </c>
      <c r="K23" s="108" t="s">
        <v>157</v>
      </c>
      <c r="L23" s="108" t="s">
        <v>158</v>
      </c>
    </row>
    <row r="24" spans="1:28" ht="14.5" x14ac:dyDescent="0.35">
      <c r="A24" s="25">
        <v>1</v>
      </c>
      <c r="B24" s="111" t="str">
        <f>IF(ISERROR(VLOOKUP($C24,Uncertainties_sources!$B$37:$C$54,2,0)),"",VLOOKUP($C24,Uncertainties_sources!$B$37:$C$54,2,0))</f>
        <v xml:space="preserve">Relative uncertainty arising from the instability of the optical source </v>
      </c>
      <c r="C24" s="112" t="str">
        <f>IF(ISERROR(VLOOKUP($A24,Uncertainties_sources!$A$37:$B$54,2,0)),"",VLOOKUP($A24,Uncertainties_sources!$A$37:$B$54,2,0))</f>
        <v>5.2.5.1</v>
      </c>
      <c r="D24" s="113" t="str">
        <f>IF(ISERROR(VLOOKUP($C24,Uncertainties_sources!$B5:$D22,3,0)),"",VLOOKUP($C24,Uncertainties_sources!$B5:$D22,3,0))</f>
        <v>B or A</v>
      </c>
      <c r="E24" s="113" t="str">
        <f>IF(ISERROR(VLOOKUP($C24,Uncertainties_sources!$B5:$E22,4,0)),"",VLOOKUP($C24,Uncertainties_sources!$B5:$E22,4,0))</f>
        <v>%</v>
      </c>
      <c r="F24" s="113" t="str">
        <f>IF(ISERROR(VLOOKUP($C24,Uncertainties_sources!$B5:$F22,5,0)),"",VLOOKUP($C24,Uncertainties_sources!$B5:$F22,5,0))</f>
        <v>Rectangular (1)</v>
      </c>
      <c r="G24" s="114">
        <f>IF(ISERROR(VLOOKUP($C24,Uncertainties_sources!$B5:$G22,6,0)),"",VLOOKUP($C24,Uncertainties_sources!$B5:$G22,6,0))</f>
        <v>2.3000000000000003</v>
      </c>
      <c r="H24" s="113">
        <f>IF(ISERROR(VLOOKUP($C24,Uncertainties_sources!$B5:$I22,8,0)),"",VLOOKUP($C24,Uncertainties_sources!$B5:$I22,8,0))</f>
        <v>2</v>
      </c>
      <c r="I24" s="115">
        <f>IF(C24="","",INDEX(Uncertainties_sources!D$37:T$63,MATCH(C24,Uncertainties_sources!B$37:B$63,0),MATCH(J$6,Uncertainties_sources!D$35:T$35,0)))</f>
        <v>1.4139999999999999</v>
      </c>
      <c r="J24" s="114">
        <f>IF(I24&lt;&gt;"",G24/H24*I24,"")</f>
        <v>1.6261000000000001</v>
      </c>
      <c r="K24" s="116">
        <f>IF(I24&lt;&gt;"",J24^2,"")</f>
        <v>2.6442012100000003</v>
      </c>
      <c r="L24" s="117">
        <f>IF(ISERROR(VLOOKUP($C24,Uncertainties_sources!$B5:$J22,9,0)),"",(I24*J24)^4/VLOOKUP($C24,Uncertainties_sources!$B5:$J22,9,0))</f>
        <v>0.13975155258844124</v>
      </c>
    </row>
    <row r="25" spans="1:28" ht="14.5" x14ac:dyDescent="0.35">
      <c r="A25" s="25">
        <v>2</v>
      </c>
      <c r="B25" s="111" t="str">
        <f>IF(ISERROR(VLOOKUP($C25,Uncertainties_sources!$B$37:$C$54,2,0)),"",VLOOKUP($C25,Uncertainties_sources!$B$37:$C$54,2,0))</f>
        <v>Relative attenuation uncertainty arising from the uncertainty of the optical source wavelength</v>
      </c>
      <c r="C25" s="112" t="str">
        <f>IF(ISERROR(VLOOKUP($A25,Uncertainties_sources!$A$37:$B$54,2,0)),"",VLOOKUP($A25,Uncertainties_sources!$A$37:$B$54,2,0))</f>
        <v>5.2.5.2a</v>
      </c>
      <c r="D25" s="113" t="str">
        <f>IF(ISERROR(VLOOKUP($C25,Uncertainties_sources!$B6:$D23,3,0)),"",VLOOKUP($C25,Uncertainties_sources!$B6:$D23,3,0))</f>
        <v>B</v>
      </c>
      <c r="E25" s="113" t="str">
        <f>IF(ISERROR(VLOOKUP($C25,Uncertainties_sources!$B6:$E23,4,0)),"",VLOOKUP($C25,Uncertainties_sources!$B6:$E23,4,0))</f>
        <v>%</v>
      </c>
      <c r="F25" s="113" t="str">
        <f>IF(ISERROR(VLOOKUP($C25,Uncertainties_sources!$B6:$F23,5,0)),"",VLOOKUP($C25,Uncertainties_sources!$B6:$F23,5,0))</f>
        <v>Normal (2)</v>
      </c>
      <c r="G25" s="114">
        <f>IF(ISERROR(VLOOKUP($C25,Uncertainties_sources!$B6:$G23,6,0)),"",VLOOKUP($C25,Uncertainties_sources!$B6:$G23,6,0))</f>
        <v>1.4891086200001731</v>
      </c>
      <c r="H25" s="113">
        <f>IF(ISERROR(VLOOKUP($C25,Uncertainties_sources!$B6:$I23,8,0)),"",VLOOKUP($C25,Uncertainties_sources!$B6:$I23,8,0))</f>
        <v>2</v>
      </c>
      <c r="I25" s="115">
        <f>IF(C25="","",INDEX(Uncertainties_sources!D$37:T$63,MATCH(C25,Uncertainties_sources!B$37:B$63,0),MATCH(J$6,Uncertainties_sources!D$35:T$35,0)))</f>
        <v>1</v>
      </c>
      <c r="J25" s="114">
        <f t="shared" ref="J25:J33" si="0">IF(I25&lt;&gt;"",G25/H25*I25,"")</f>
        <v>0.74455431000008654</v>
      </c>
      <c r="K25" s="116">
        <f>IF(I25&lt;&gt;"",J25^2,"")</f>
        <v>0.55436112053970499</v>
      </c>
      <c r="L25" s="117">
        <f>IF(ISERROR(VLOOKUP($C25,Uncertainties_sources!$B6:$J23,9,0)),"",(I25*J25)^4/VLOOKUP($C25,Uncertainties_sources!$B6:$J23,9,0))</f>
        <v>1.5365812598301866E-3</v>
      </c>
    </row>
    <row r="26" spans="1:28" ht="14.5" x14ac:dyDescent="0.35">
      <c r="A26" s="25">
        <v>3</v>
      </c>
      <c r="B26" s="111" t="str">
        <f>IF(ISERROR(VLOOKUP($C26,Uncertainties_sources!$B$37:$C$54,2,0)),"",VLOOKUP($C26,Uncertainties_sources!$B$37:$C$54,2,0))</f>
        <v>Relative uncertainty arising from the non-linearity of the power meter</v>
      </c>
      <c r="C26" s="112" t="str">
        <f>IF(ISERROR(VLOOKUP($A26,Uncertainties_sources!$A$37:$B$54,2,0)),"",VLOOKUP($A26,Uncertainties_sources!$A$37:$B$54,2,0))</f>
        <v>5.2.5.4</v>
      </c>
      <c r="D26" s="113" t="str">
        <f>IF(ISERROR(VLOOKUP($C26,Uncertainties_sources!$B7:$D24,3,0)),"",VLOOKUP($C26,Uncertainties_sources!$B7:$D24,3,0))</f>
        <v>B</v>
      </c>
      <c r="E26" s="113" t="str">
        <f>IF(ISERROR(VLOOKUP($C26,Uncertainties_sources!$B7:$E24,4,0)),"",VLOOKUP($C26,Uncertainties_sources!$B7:$E24,4,0))</f>
        <v>%</v>
      </c>
      <c r="F26" s="113" t="str">
        <f>IF(ISERROR(VLOOKUP($C26,Uncertainties_sources!$B7:$F24,5,0)),"",VLOOKUP($C26,Uncertainties_sources!$B7:$F24,5,0))</f>
        <v>Rectangular (1)</v>
      </c>
      <c r="G26" s="114">
        <f>IF(ISERROR(VLOOKUP($C26,Uncertainties_sources!$B7:$G24,6,0)),"",VLOOKUP($C26,Uncertainties_sources!$B7:$G24,6,0))</f>
        <v>0.34499999999999997</v>
      </c>
      <c r="H26" s="113">
        <f>IF(ISERROR(VLOOKUP($C26,Uncertainties_sources!$B7:$I24,8,0)),"",VLOOKUP($C26,Uncertainties_sources!$B7:$I24,8,0))</f>
        <v>1.7320508075688772</v>
      </c>
      <c r="I26" s="115">
        <f>IF(C26="","",INDEX(Uncertainties_sources!D$37:T$63,MATCH(C26,Uncertainties_sources!B$37:B$63,0),MATCH(J$6,Uncertainties_sources!D$35:T$35,0)))</f>
        <v>1</v>
      </c>
      <c r="J26" s="114">
        <f t="shared" si="0"/>
        <v>0.19918584287042088</v>
      </c>
      <c r="K26" s="116">
        <f t="shared" ref="K26:K33" si="1">IF(I26&lt;&gt;"",J26^2,"")</f>
        <v>3.9674999999999995E-2</v>
      </c>
      <c r="L26" s="117">
        <f>IF(ISERROR(VLOOKUP($C26,Uncertainties_sources!$B7:$J24,9,0)),"",(I26*J26)^4/VLOOKUP($C26,Uncertainties_sources!$B7:$J24,9,0))</f>
        <v>7.870528124999998E-6</v>
      </c>
    </row>
    <row r="27" spans="1:28" ht="14.5" x14ac:dyDescent="0.35">
      <c r="A27" s="25">
        <v>4</v>
      </c>
      <c r="B27" s="111" t="str">
        <f>IF(ISERROR(VLOOKUP($C27,Uncertainties_sources!$B$37:$C$54,2,0)),"",VLOOKUP($C27,Uncertainties_sources!$B$37:$C$54,2,0))</f>
        <v xml:space="preserve">Relative uncertainty arising from the finite display resolution of power meter </v>
      </c>
      <c r="C27" s="112" t="str">
        <f>IF(ISERROR(VLOOKUP($A27,Uncertainties_sources!$A$37:$B$54,2,0)),"",VLOOKUP($A27,Uncertainties_sources!$A$37:$B$54,2,0))</f>
        <v>5.2.5.5</v>
      </c>
      <c r="D27" s="113" t="str">
        <f>IF(ISERROR(VLOOKUP($C27,Uncertainties_sources!$B8:$D25,3,0)),"",VLOOKUP($C27,Uncertainties_sources!$B8:$D25,3,0))</f>
        <v>B</v>
      </c>
      <c r="E27" s="113" t="str">
        <f>IF(ISERROR(VLOOKUP($C27,Uncertainties_sources!$B8:$E25,4,0)),"",VLOOKUP($C27,Uncertainties_sources!$B8:$E25,4,0))</f>
        <v>%</v>
      </c>
      <c r="F27" s="113" t="str">
        <f>IF(ISERROR(VLOOKUP($C27,Uncertainties_sources!$B8:$F25,5,0)),"",VLOOKUP($C27,Uncertainties_sources!$B8:$F25,5,0))</f>
        <v>Rectangular (1)</v>
      </c>
      <c r="G27" s="114">
        <f>IF(ISERROR(VLOOKUP($C27,Uncertainties_sources!$B8:$G25,6,0)),"",VLOOKUP($C27,Uncertainties_sources!$B8:$G25,6,0))</f>
        <v>0.115</v>
      </c>
      <c r="H27" s="113">
        <f>IF(ISERROR(VLOOKUP($C27,Uncertainties_sources!$B8:$I25,8,0)),"",VLOOKUP($C27,Uncertainties_sources!$B8:$I25,8,0))</f>
        <v>1.7320508075688772</v>
      </c>
      <c r="I27" s="115">
        <f>IF(C27="","",INDEX(Uncertainties_sources!D$37:T$63,MATCH(C27,Uncertainties_sources!B$37:B$63,0),MATCH(J$6,Uncertainties_sources!D$35:T$35,0)))</f>
        <v>1.4139999999999999</v>
      </c>
      <c r="J27" s="114">
        <f t="shared" si="0"/>
        <v>9.3882927272925049E-2</v>
      </c>
      <c r="K27" s="116">
        <f t="shared" si="1"/>
        <v>8.8140040333333346E-3</v>
      </c>
      <c r="L27" s="117">
        <f>IF(ISERROR(VLOOKUP($C27,Uncertainties_sources!$B8:$J25,9,0)),"",(I27*J27)^4/VLOOKUP($C27,Uncertainties_sources!$B8:$J25,9,0))</f>
        <v>3.1055900575209154E-103</v>
      </c>
    </row>
    <row r="28" spans="1:28" ht="14.5" x14ac:dyDescent="0.35">
      <c r="A28" s="25">
        <v>5</v>
      </c>
      <c r="B28" s="111" t="str">
        <f>IF(ISERROR(VLOOKUP($C28,Uncertainties_sources!$B$37:$C$54,2,0)),"",VLOOKUP($C28,Uncertainties_sources!$B$37:$C$54,2,0))</f>
        <v>Relative uncertainty arising from power meter spatial sensitivity</v>
      </c>
      <c r="C28" s="112" t="str">
        <f>IF(ISERROR(VLOOKUP($A28,Uncertainties_sources!$A$37:$B$54,2,0)),"",VLOOKUP($A28,Uncertainties_sources!$A$37:$B$54,2,0))</f>
        <v>5.2.5.6</v>
      </c>
      <c r="D28" s="113" t="str">
        <f>IF(ISERROR(VLOOKUP($C28,Uncertainties_sources!$B9:$D28,3,0)),"",VLOOKUP($C28,Uncertainties_sources!$B9:$D28,3,0))</f>
        <v>B</v>
      </c>
      <c r="E28" s="113" t="str">
        <f>IF(ISERROR(VLOOKUP($C28,Uncertainties_sources!$B9:$E28,4,0)),"",VLOOKUP($C28,Uncertainties_sources!$B9:$E28,4,0))</f>
        <v>%</v>
      </c>
      <c r="F28" s="113" t="str">
        <f>IF(ISERROR(VLOOKUP($C28,Uncertainties_sources!$B9:$F28,5,0)),"",VLOOKUP($C28,Uncertainties_sources!$B9:$F28,5,0))</f>
        <v>Rectangular (1)</v>
      </c>
      <c r="G28" s="114">
        <f>IF(ISERROR(VLOOKUP($C28,Uncertainties_sources!$B9:$G28,6,0)),"",VLOOKUP($C28,Uncertainties_sources!$B9:$G28,6,0))</f>
        <v>0</v>
      </c>
      <c r="H28" s="113">
        <f>IF(ISERROR(VLOOKUP($C28,Uncertainties_sources!$B9:$I28,8,0)),"",VLOOKUP($C28,Uncertainties_sources!$B9:$I28,8,0))</f>
        <v>1.7320508075688772</v>
      </c>
      <c r="I28" s="115">
        <f>IF(C28="","",INDEX(Uncertainties_sources!D$37:T$63,MATCH(C28,Uncertainties_sources!B$37:B$63,0),MATCH(J$6,Uncertainties_sources!D$35:T$35,0)))</f>
        <v>1.4139999999999999</v>
      </c>
      <c r="J28" s="114">
        <f t="shared" si="0"/>
        <v>0</v>
      </c>
      <c r="K28" s="116">
        <f t="shared" si="1"/>
        <v>0</v>
      </c>
      <c r="L28" s="117">
        <f>IF(ISERROR(VLOOKUP($C28,Uncertainties_sources!$B9:$J28,9,0)),"",(I28*J28)^4/VLOOKUP($C28,Uncertainties_sources!$B9:$J28,9,0))</f>
        <v>0</v>
      </c>
    </row>
    <row r="29" spans="1:28" ht="14.5" x14ac:dyDescent="0.35">
      <c r="A29" s="25">
        <v>6</v>
      </c>
      <c r="B29" s="111" t="str">
        <f>IF(ISERROR(VLOOKUP($C29,Uncertainties_sources!$B$37:$C$54,2,0)),"",VLOOKUP($C29,Uncertainties_sources!$B$37:$C$54,2,0))</f>
        <v xml:space="preserve">Relative uncertainty arising from the polarization dependency of power meter </v>
      </c>
      <c r="C29" s="112" t="str">
        <f>IF(ISERROR(VLOOKUP($A29,Uncertainties_sources!$A$37:$B$54,2,0)),"",VLOOKUP($A29,Uncertainties_sources!$A$37:$B$54,2,0))</f>
        <v>5.2.6.7</v>
      </c>
      <c r="D29" s="113" t="str">
        <f>IF(ISERROR(VLOOKUP($C29,Uncertainties_sources!$B10:$D29,3,0)),"",VLOOKUP($C29,Uncertainties_sources!$B10:$D29,3,0))</f>
        <v>B</v>
      </c>
      <c r="E29" s="113" t="str">
        <f>IF(ISERROR(VLOOKUP($C29,Uncertainties_sources!$B10:$E29,4,0)),"",VLOOKUP($C29,Uncertainties_sources!$B10:$E29,4,0))</f>
        <v>%</v>
      </c>
      <c r="F29" s="113" t="str">
        <f>IF(ISERROR(VLOOKUP($C29,Uncertainties_sources!$B10:$F29,5,0)),"",VLOOKUP($C29,Uncertainties_sources!$B10:$F29,5,0))</f>
        <v>Rectangular (1)</v>
      </c>
      <c r="G29" s="114">
        <f>IF(ISERROR(VLOOKUP($C29,Uncertainties_sources!$B10:$G29,6,0)),"",VLOOKUP($C29,Uncertainties_sources!$B10:$G29,6,0))</f>
        <v>0.115</v>
      </c>
      <c r="H29" s="113">
        <f>IF(ISERROR(VLOOKUP($C29,Uncertainties_sources!$B10:$I29,8,0)),"",VLOOKUP($C29,Uncertainties_sources!$B10:$I29,8,0))</f>
        <v>1.7320508075688772</v>
      </c>
      <c r="I29" s="115">
        <f>IF(C29="","",INDEX(Uncertainties_sources!D$37:T$63,MATCH(C29,Uncertainties_sources!B$37:B$63,0),MATCH(J$6,Uncertainties_sources!D$35:T$35,0)))</f>
        <v>1.4139999999999999</v>
      </c>
      <c r="J29" s="114">
        <f t="shared" si="0"/>
        <v>9.3882927272925049E-2</v>
      </c>
      <c r="K29" s="116">
        <f t="shared" si="1"/>
        <v>8.8140040333333346E-3</v>
      </c>
      <c r="L29" s="117">
        <f>IF(ISERROR(VLOOKUP($C29,Uncertainties_sources!$B10:$J29,9,0)),"",(I29*J29)^4/VLOOKUP($C29,Uncertainties_sources!$B10:$J29,9,0))</f>
        <v>1.5527950287604577E-6</v>
      </c>
    </row>
    <row r="30" spans="1:28" ht="14.5" x14ac:dyDescent="0.35">
      <c r="A30" s="25">
        <v>7</v>
      </c>
      <c r="B30" s="111" t="str">
        <f>IF(ISERROR(VLOOKUP($C30,Uncertainties_sources!$B$37:$C$54,2,0)),"",VLOOKUP($C30,Uncertainties_sources!$B$37:$C$54,2,0))</f>
        <v xml:space="preserve">Relative uncertainty arising from power meter noise </v>
      </c>
      <c r="C30" s="112" t="str">
        <f>IF(ISERROR(VLOOKUP($A30,Uncertainties_sources!$A$37:$B$54,2,0)),"",VLOOKUP($A30,Uncertainties_sources!$A$37:$B$54,2,0))</f>
        <v>5.2.5.8</v>
      </c>
      <c r="D30" s="113" t="str">
        <f>IF(ISERROR(VLOOKUP($C30,Uncertainties_sources!$B11:$D30,3,0)),"",VLOOKUP($C30,Uncertainties_sources!$B11:$D30,3,0))</f>
        <v>B</v>
      </c>
      <c r="E30" s="113" t="str">
        <f>IF(ISERROR(VLOOKUP($C30,Uncertainties_sources!$B11:$E30,4,0)),"",VLOOKUP($C30,Uncertainties_sources!$B11:$E30,4,0))</f>
        <v>%</v>
      </c>
      <c r="F30" s="113" t="str">
        <f>IF(ISERROR(VLOOKUP($C30,Uncertainties_sources!$B11:$F30,5,0)),"",VLOOKUP($C30,Uncertainties_sources!$B11:$F30,5,0))</f>
        <v>Rectangular (1)</v>
      </c>
      <c r="G30" s="114">
        <f>IF(ISERROR(VLOOKUP($C30,Uncertainties_sources!$B11:$G30,6,0)),"",VLOOKUP($C30,Uncertainties_sources!$B11:$G30,6,0))</f>
        <v>-2.1739130434782609E-9</v>
      </c>
      <c r="H30" s="113">
        <f>IF(ISERROR(VLOOKUP($C30,Uncertainties_sources!$B11:$I30,8,0)),"",VLOOKUP($C30,Uncertainties_sources!$B11:$I30,8,0))</f>
        <v>1.7320508075688772</v>
      </c>
      <c r="I30" s="115">
        <f>IF(C30="","",INDEX(Uncertainties_sources!D$37:T$63,MATCH(C30,Uncertainties_sources!B$37:B$63,0),MATCH(J$6,Uncertainties_sources!D$35:T$35,0)))</f>
        <v>1.4139999999999999</v>
      </c>
      <c r="J30" s="114">
        <f t="shared" si="0"/>
        <v>-1.7747245231176757E-9</v>
      </c>
      <c r="K30" s="116">
        <f t="shared" si="1"/>
        <v>3.1496471329552613E-18</v>
      </c>
      <c r="L30" s="117">
        <f>IF(ISERROR(VLOOKUP($C30,Uncertainties_sources!$B11:$J30,9,0)),"",(I30*J30)^4/VLOOKUP($C30,Uncertainties_sources!$B11:$J30,9,0))</f>
        <v>1.9828572239113427E-39</v>
      </c>
    </row>
    <row r="31" spans="1:28" ht="14.5" x14ac:dyDescent="0.35">
      <c r="A31" s="25">
        <v>8</v>
      </c>
      <c r="B31" s="111" t="str">
        <f>IF(ISERROR(VLOOKUP($C31,Uncertainties_sources!$B$37:$C$54,2,0)),"",VLOOKUP($C31,Uncertainties_sources!$B$37:$C$54,2,0))</f>
        <v>Relative uncertainty arising from power meter instability</v>
      </c>
      <c r="C31" s="112" t="str">
        <f>IF(ISERROR(VLOOKUP($A31,Uncertainties_sources!$A$37:$B$54,2,0)),"",VLOOKUP($A31,Uncertainties_sources!$A$37:$B$54,2,0))</f>
        <v>5.2.5.9</v>
      </c>
      <c r="D31" s="113" t="str">
        <f>IF(ISERROR(VLOOKUP($C31,Uncertainties_sources!$B12:$D31,3,0)),"",VLOOKUP($C31,Uncertainties_sources!$B12:$D31,3,0))</f>
        <v>B</v>
      </c>
      <c r="E31" s="113" t="str">
        <f>IF(ISERROR(VLOOKUP($C31,Uncertainties_sources!$B12:$E31,4,0)),"",VLOOKUP($C31,Uncertainties_sources!$B12:$E31,4,0))</f>
        <v>%</v>
      </c>
      <c r="F31" s="113" t="str">
        <f>IF(ISERROR(VLOOKUP($C31,Uncertainties_sources!$B12:$F31,5,0)),"",VLOOKUP($C31,Uncertainties_sources!$B12:$F31,5,0))</f>
        <v>Normal (2)</v>
      </c>
      <c r="G31" s="114">
        <f>IF(ISERROR(VLOOKUP($C31,Uncertainties_sources!$B12:$G31,6,0)),"",VLOOKUP($C31,Uncertainties_sources!$B12:$G31,6,0))</f>
        <v>0.1</v>
      </c>
      <c r="H31" s="113">
        <f>IF(ISERROR(VLOOKUP($C31,Uncertainties_sources!$B12:$I31,8,0)),"",VLOOKUP($C31,Uncertainties_sources!$B12:$I31,8,0))</f>
        <v>2</v>
      </c>
      <c r="I31" s="115">
        <f>IF(C31="","",INDEX(Uncertainties_sources!D$37:T$63,MATCH(C31,Uncertainties_sources!B$37:B$63,0),MATCH(J$6,Uncertainties_sources!D$35:T$35,0)))</f>
        <v>1.4139999999999999</v>
      </c>
      <c r="J31" s="114">
        <f t="shared" si="0"/>
        <v>7.0699999999999999E-2</v>
      </c>
      <c r="K31" s="116">
        <f t="shared" si="1"/>
        <v>4.9984899999999995E-3</v>
      </c>
      <c r="L31" s="117">
        <f>IF(ISERROR(VLOOKUP($C31,Uncertainties_sources!$B12:$J31,9,0)),"",(I31*J31)^4/VLOOKUP($C31,Uncertainties_sources!$B12:$J31,9,0))</f>
        <v>4.9939627355691682E-7</v>
      </c>
    </row>
    <row r="32" spans="1:28" ht="14.5" x14ac:dyDescent="0.35">
      <c r="A32" s="25">
        <v>9</v>
      </c>
      <c r="B32" s="111" t="str">
        <f>IF(ISERROR(VLOOKUP($C32,Uncertainties_sources!$B$37:$C$54,2,0)),"",VLOOKUP($C32,Uncertainties_sources!$B$37:$C$54,2,0))</f>
        <v xml:space="preserve">Relative uncertainties of the absolute power measurements </v>
      </c>
      <c r="C32" s="112" t="str">
        <f>IF(ISERROR(VLOOKUP($A32,Uncertainties_sources!$A$37:$B$54,2,0)),"",VLOOKUP($A32,Uncertainties_sources!$A$37:$B$54,2,0))</f>
        <v>5.2.5.10</v>
      </c>
      <c r="D32" s="113" t="str">
        <f>IF(ISERROR(VLOOKUP($C32,Uncertainties_sources!$B13:$D32,3,0)),"",VLOOKUP($C32,Uncertainties_sources!$B13:$D32,3,0))</f>
        <v>B</v>
      </c>
      <c r="E32" s="113" t="str">
        <f>IF(ISERROR(VLOOKUP($C32,Uncertainties_sources!$B13:$E32,4,0)),"",VLOOKUP($C32,Uncertainties_sources!$B13:$E32,4,0))</f>
        <v>%</v>
      </c>
      <c r="F32" s="113" t="str">
        <f>IF(ISERROR(VLOOKUP($C32,Uncertainties_sources!$B13:$F32,5,0)),"",VLOOKUP($C32,Uncertainties_sources!$B13:$F32,5,0))</f>
        <v>Normal (2)</v>
      </c>
      <c r="G32" s="114">
        <f>IF(ISERROR(VLOOKUP($C32,Uncertainties_sources!$B13:$G32,6,0)),"",VLOOKUP($C32,Uncertainties_sources!$B13:$G32,6,0))</f>
        <v>0</v>
      </c>
      <c r="H32" s="113">
        <f>IF(ISERROR(VLOOKUP($C32,Uncertainties_sources!$B13:$I32,8,0)),"",VLOOKUP($C32,Uncertainties_sources!$B13:$I32,8,0))</f>
        <v>2</v>
      </c>
      <c r="I32" s="115">
        <f>IF(C32="","",INDEX(Uncertainties_sources!D$37:T$63,MATCH(C32,Uncertainties_sources!B$37:B$63,0),MATCH(J$6,Uncertainties_sources!D$35:T$35,0)))</f>
        <v>1.4139999999999999</v>
      </c>
      <c r="J32" s="114">
        <f t="shared" si="0"/>
        <v>0</v>
      </c>
      <c r="K32" s="116">
        <f t="shared" si="1"/>
        <v>0</v>
      </c>
      <c r="L32" s="117">
        <f>IF(ISERROR(VLOOKUP($C32,Uncertainties_sources!$B13:$J32,9,0)),"",(I32*J32)^4/VLOOKUP($C32,Uncertainties_sources!$B13:$J32,9,0))</f>
        <v>0</v>
      </c>
    </row>
    <row r="33" spans="1:12" ht="14.5" x14ac:dyDescent="0.35">
      <c r="A33" s="25">
        <v>10</v>
      </c>
      <c r="B33" s="111" t="str">
        <f>IF(ISERROR(VLOOKUP($C33,Uncertainties_sources!$B$37:$C$54,2,0)),"",VLOOKUP($C33,Uncertainties_sources!$B$37:$C$54,2,0))</f>
        <v/>
      </c>
      <c r="C33" s="112" t="str">
        <f>IF(ISERROR(VLOOKUP($A33,Uncertainties_sources!$A$37:$B$54,2,0)),"",VLOOKUP($A33,Uncertainties_sources!$A$37:$B$54,2,0))</f>
        <v/>
      </c>
      <c r="D33" s="113" t="str">
        <f>IF(ISERROR(VLOOKUP($C33,Uncertainties_sources!$B14:$D33,3,0)),"",VLOOKUP($C33,Uncertainties_sources!$B14:$D33,3,0))</f>
        <v/>
      </c>
      <c r="E33" s="113" t="str">
        <f>IF(ISERROR(VLOOKUP($C33,Uncertainties_sources!$B14:$E33,4,0)),"",VLOOKUP($C33,Uncertainties_sources!$B14:$E33,4,0))</f>
        <v/>
      </c>
      <c r="F33" s="113" t="str">
        <f>IF(ISERROR(VLOOKUP($C33,Uncertainties_sources!$B14:$F33,5,0)),"",VLOOKUP($C33,Uncertainties_sources!$B14:$F33,5,0))</f>
        <v/>
      </c>
      <c r="G33" s="114" t="str">
        <f>IF(ISERROR(VLOOKUP($C33,Uncertainties_sources!$B14:$G33,6,0)),"",VLOOKUP($C33,Uncertainties_sources!$B14:$G33,6,0))</f>
        <v/>
      </c>
      <c r="H33" s="113" t="str">
        <f>IF(ISERROR(VLOOKUP($C33,Uncertainties_sources!$B14:$I33,8,0)),"",VLOOKUP($C33,Uncertainties_sources!$B14:$I33,8,0))</f>
        <v/>
      </c>
      <c r="I33" s="115" t="str">
        <f>IF(C33="","",INDEX(Uncertainties_sources!D$37:T$63,MATCH(C33,Uncertainties_sources!B$37:B$63,0),MATCH(J$6,Uncertainties_sources!D$35:T$35,0)))</f>
        <v/>
      </c>
      <c r="J33" s="114" t="str">
        <f t="shared" si="0"/>
        <v/>
      </c>
      <c r="K33" s="116" t="str">
        <f t="shared" si="1"/>
        <v/>
      </c>
      <c r="L33" s="117" t="str">
        <f>IF(ISERROR(VLOOKUP($C33,Uncertainties_sources!$B14:$J33,9,0)),"",(I33*J33)^4/VLOOKUP($C33,Uncertainties_sources!$B14:$J33,9,0))</f>
        <v/>
      </c>
    </row>
    <row r="34" spans="1:12" ht="14.5" x14ac:dyDescent="0.35">
      <c r="K34" s="123">
        <f>SQRT(SUM(K24:K33))</f>
        <v>1.8057862078901732</v>
      </c>
      <c r="L34" s="98">
        <f>SUM(L24:L33)</f>
        <v>0.14129805656769875</v>
      </c>
    </row>
    <row r="36" spans="1:12" ht="14.5" x14ac:dyDescent="0.35">
      <c r="B36" s="97" t="s">
        <v>165</v>
      </c>
      <c r="C36" s="107"/>
      <c r="D36" s="107"/>
      <c r="E36"/>
      <c r="F36"/>
      <c r="G36"/>
      <c r="H36"/>
      <c r="I36"/>
      <c r="J36"/>
      <c r="K36"/>
      <c r="L36"/>
    </row>
    <row r="37" spans="1:12" ht="52" x14ac:dyDescent="0.25">
      <c r="B37" s="108" t="s">
        <v>81</v>
      </c>
      <c r="C37" s="109" t="s">
        <v>153</v>
      </c>
      <c r="D37" s="109" t="s">
        <v>82</v>
      </c>
      <c r="E37" s="108" t="s">
        <v>83</v>
      </c>
      <c r="F37" s="109" t="s">
        <v>84</v>
      </c>
      <c r="G37" s="109" t="s">
        <v>154</v>
      </c>
      <c r="H37" s="109" t="s">
        <v>85</v>
      </c>
      <c r="I37" s="109" t="s">
        <v>155</v>
      </c>
      <c r="J37" s="110" t="s">
        <v>156</v>
      </c>
      <c r="K37" s="108" t="s">
        <v>157</v>
      </c>
      <c r="L37" s="108" t="s">
        <v>158</v>
      </c>
    </row>
    <row r="38" spans="1:12" ht="14.5" x14ac:dyDescent="0.35">
      <c r="A38" s="25">
        <v>1</v>
      </c>
      <c r="B38" s="111" t="str">
        <f>IF(ISERROR(VLOOKUP($C38,Uncertainties_sources!$B$55:$C$59,2,0)),"",VLOOKUP($C38,Uncertainties_sources!$B$55:$C$59,2,0))</f>
        <v>Relative uncertainty related to the PDL of the test cord APC connectors</v>
      </c>
      <c r="C38" s="112" t="str">
        <f>IF(ISERROR(VLOOKUP($A38,Uncertainties_sources!$A$55:$B$59,2,0)),"",VLOOKUP($A38,Uncertainties_sources!$A$55:$B$59,2,0))</f>
        <v>5.2.6.3</v>
      </c>
      <c r="D38" s="113" t="str">
        <f>IF(ISERROR(VLOOKUP($C38,Uncertainties_sources!$B17:$D36,3,0)),"",VLOOKUP($C38,Uncertainties_sources!$B17:$D36,3,0))</f>
        <v>B</v>
      </c>
      <c r="E38" s="113" t="str">
        <f>IF(ISERROR(VLOOKUP($C38,Uncertainties_sources!$B17:$E36,4,0)),"",VLOOKUP($C38,Uncertainties_sources!$B17:$E36,4,0))</f>
        <v>%</v>
      </c>
      <c r="F38" s="113" t="str">
        <f>IF(ISERROR(VLOOKUP($C38,Uncertainties_sources!$B17:$F36,5,0)),"",VLOOKUP($C38,Uncertainties_sources!$B17:$F36,5,0))</f>
        <v>Rectangular (1)</v>
      </c>
      <c r="G38" s="114">
        <f>IF(ISERROR(VLOOKUP($C38,Uncertainties_sources!$B17:$G36,6,0)),"",VLOOKUP($C38,Uncertainties_sources!$B17:$G36,6,0))</f>
        <v>0</v>
      </c>
      <c r="H38" s="113">
        <f>IF(ISERROR(VLOOKUP($C38,Uncertainties_sources!$B17:$I36,8,0)),"",VLOOKUP($C38,Uncertainties_sources!$B17:$I36,8,0))</f>
        <v>1.7320508075688772</v>
      </c>
      <c r="I38" s="115">
        <f>IF(C38="","",INDEX(Uncertainties_sources!D$37:T$63,MATCH(C38,Uncertainties_sources!B$37:B$63,0),MATCH(J$6,Uncertainties_sources!D$35:T$35,0)))</f>
        <v>1.4139999999999999</v>
      </c>
      <c r="J38" s="114">
        <f>IF(I38&lt;&gt;"",G38/H38*I38,"")</f>
        <v>0</v>
      </c>
      <c r="K38" s="116">
        <f>IF(I38&lt;&gt;"",J38^2,"")</f>
        <v>0</v>
      </c>
      <c r="L38" s="117">
        <f>IF(ISERROR(VLOOKUP($C38,Uncertainties_sources!$B17:$J36,9,0)),"",(I38*J38)^4/VLOOKUP($C38,Uncertainties_sources!$B17:$J36,9,0))</f>
        <v>0</v>
      </c>
    </row>
    <row r="39" spans="1:12" ht="14.5" x14ac:dyDescent="0.35">
      <c r="A39" s="25">
        <v>2</v>
      </c>
      <c r="B39" s="111" t="str">
        <f>IF(ISERROR(VLOOKUP($C39,Uncertainties_sources!$B$55:$C$59,2,0)),"",VLOOKUP($C39,Uncertainties_sources!$B$55:$C$59,2,0))</f>
        <v/>
      </c>
      <c r="C39" s="112" t="str">
        <f>IF(ISERROR(VLOOKUP($A39,Uncertainties_sources!$A$55:$B$59,2,0)),"",VLOOKUP($A39,Uncertainties_sources!$A$55:$B$59,2,0))</f>
        <v/>
      </c>
      <c r="D39" s="113" t="str">
        <f>IF(ISERROR(VLOOKUP($C39,Uncertainties_sources!$B18:$D37,3,0)),"",VLOOKUP($C39,Uncertainties_sources!$B18:$D37,3,0))</f>
        <v/>
      </c>
      <c r="E39" s="113" t="str">
        <f>IF(ISERROR(VLOOKUP($C39,Uncertainties_sources!$B18:$E37,4,0)),"",VLOOKUP($C39,Uncertainties_sources!$B18:$E37,4,0))</f>
        <v/>
      </c>
      <c r="F39" s="113" t="str">
        <f>IF(ISERROR(VLOOKUP($C39,Uncertainties_sources!$B18:$F37,5,0)),"",VLOOKUP($C39,Uncertainties_sources!$B18:$F37,5,0))</f>
        <v/>
      </c>
      <c r="G39" s="114" t="str">
        <f>IF(ISERROR(VLOOKUP($C39,Uncertainties_sources!$B18:$G37,6,0)),"",VLOOKUP($C39,Uncertainties_sources!$B18:$G37,6,0))</f>
        <v/>
      </c>
      <c r="H39" s="113" t="str">
        <f>IF(ISERROR(VLOOKUP($C39,Uncertainties_sources!$B18:$I37,8,0)),"",VLOOKUP($C39,Uncertainties_sources!$B18:$I37,8,0))</f>
        <v/>
      </c>
      <c r="I39" s="115" t="str">
        <f>IF(C39="","",INDEX(Uncertainties_sources!D$37:T$63,MATCH(C39,Uncertainties_sources!B$37:B$63,0),MATCH(J$6,Uncertainties_sources!D$35:T$35,0)))</f>
        <v/>
      </c>
      <c r="J39" s="114" t="str">
        <f t="shared" ref="J39" si="2">IF(I39&lt;&gt;"",G39/H39*I39,"")</f>
        <v/>
      </c>
      <c r="K39" s="116" t="str">
        <f>IF(I39&lt;&gt;"",J39^2,"")</f>
        <v/>
      </c>
      <c r="L39" s="117" t="str">
        <f>IF(ISERROR(VLOOKUP($C39,Uncertainties_sources!$B18:$J37,9,0)),"",(I39*J39)^4/VLOOKUP($C39,Uncertainties_sources!$B18:$J37,9,0))</f>
        <v/>
      </c>
    </row>
    <row r="40" spans="1:12" ht="14.5" x14ac:dyDescent="0.35">
      <c r="A40" s="25">
        <v>3</v>
      </c>
      <c r="B40" s="111" t="str">
        <f>IF(ISERROR(VLOOKUP($C40,Uncertainties_sources!$B$55:$C$59,2,0)),"",VLOOKUP($C40,Uncertainties_sources!$B$55:$C$59,2,0))</f>
        <v/>
      </c>
      <c r="C40" s="112" t="str">
        <f>IF(ISERROR(VLOOKUP($A40,Uncertainties_sources!$A$55:$B$59,2,0)),"",VLOOKUP($A40,Uncertainties_sources!$A$55:$B$59,2,0))</f>
        <v/>
      </c>
      <c r="D40" s="113" t="str">
        <f>IF(ISERROR(VLOOKUP($C40,Uncertainties_sources!$B19:$D38,3,0)),"",VLOOKUP($C40,Uncertainties_sources!$B19:$D38,3,0))</f>
        <v/>
      </c>
      <c r="E40" s="113" t="str">
        <f>IF(ISERROR(VLOOKUP($C40,Uncertainties_sources!$B19:$E38,4,0)),"",VLOOKUP($C40,Uncertainties_sources!$B19:$E38,4,0))</f>
        <v/>
      </c>
      <c r="F40" s="113" t="str">
        <f>IF(ISERROR(VLOOKUP($C40,Uncertainties_sources!$B19:$F38,5,0)),"",VLOOKUP($C40,Uncertainties_sources!$B19:$F38,5,0))</f>
        <v/>
      </c>
      <c r="G40" s="114" t="str">
        <f>IF(ISERROR(VLOOKUP($C40,Uncertainties_sources!$B19:$G38,6,0)),"",VLOOKUP($C40,Uncertainties_sources!$B19:$G38,6,0))</f>
        <v/>
      </c>
      <c r="H40" s="113" t="str">
        <f>IF(ISERROR(VLOOKUP($C40,Uncertainties_sources!$B19:$I38,8,0)),"",VLOOKUP($C40,Uncertainties_sources!$B19:$I38,8,0))</f>
        <v/>
      </c>
      <c r="I40" s="115" t="str">
        <f>IF(C40="","",INDEX(Uncertainties_sources!D$37:T$63,MATCH(C40,Uncertainties_sources!B$37:B$63,0),MATCH(J$6,Uncertainties_sources!D$35:T$35,0)))</f>
        <v/>
      </c>
      <c r="J40" s="114" t="str">
        <f>IF(I40&lt;&gt;"",G40/H40*I40,"")</f>
        <v/>
      </c>
      <c r="K40" s="116" t="str">
        <f>IF(I40&lt;&gt;"",J40^2,"")</f>
        <v/>
      </c>
      <c r="L40" s="117" t="str">
        <f>IF(ISERROR(VLOOKUP($C40,Uncertainties_sources!$B19:$J38,9,0)),"",(I40*J40)^4/VLOOKUP($C40,Uncertainties_sources!$B19:$J38,9,0))</f>
        <v/>
      </c>
    </row>
    <row r="41" spans="1:12" ht="14.5" x14ac:dyDescent="0.35">
      <c r="K41" s="123">
        <f>SQRT(SUM(K38:K40))</f>
        <v>0</v>
      </c>
      <c r="L41" s="98">
        <f>SUM(L38:L40)</f>
        <v>0</v>
      </c>
    </row>
    <row r="43" spans="1:12" ht="14.5" x14ac:dyDescent="0.35">
      <c r="B43" s="97" t="s">
        <v>168</v>
      </c>
      <c r="C43" s="107"/>
      <c r="D43" s="107"/>
      <c r="E43"/>
      <c r="F43"/>
      <c r="G43"/>
      <c r="H43"/>
      <c r="I43"/>
      <c r="J43"/>
      <c r="K43"/>
      <c r="L43"/>
    </row>
    <row r="44" spans="1:12" ht="52" x14ac:dyDescent="0.25">
      <c r="B44" s="108" t="s">
        <v>81</v>
      </c>
      <c r="C44" s="109" t="s">
        <v>153</v>
      </c>
      <c r="D44" s="109" t="s">
        <v>82</v>
      </c>
      <c r="E44" s="108" t="s">
        <v>83</v>
      </c>
      <c r="F44" s="109" t="s">
        <v>84</v>
      </c>
      <c r="G44" s="109" t="s">
        <v>154</v>
      </c>
      <c r="H44" s="109" t="s">
        <v>85</v>
      </c>
      <c r="I44" s="109" t="s">
        <v>155</v>
      </c>
      <c r="J44" s="110" t="s">
        <v>156</v>
      </c>
      <c r="K44" s="108" t="s">
        <v>157</v>
      </c>
      <c r="L44" s="108" t="s">
        <v>158</v>
      </c>
    </row>
    <row r="45" spans="1:12" ht="14.5" x14ac:dyDescent="0.35">
      <c r="A45" s="25">
        <v>1</v>
      </c>
      <c r="B45" s="111" t="str">
        <f>IF(ISERROR(VLOOKUP($C45,Uncertainties_sources!$B$60:$C$63,2,0)),"",VLOOKUP($C45,Uncertainties_sources!$B$60:$C$63,2,0))</f>
        <v>Relative uncertainties due to mating reproducibility</v>
      </c>
      <c r="C45" s="112" t="str">
        <f>IF(ISERROR(VLOOKUP($A45,Uncertainties_sources!$A$60:$B$63,2,0)),"",VLOOKUP($A45,Uncertainties_sources!$A$60:$B$63,2,0))</f>
        <v>5.2.7.1</v>
      </c>
      <c r="D45" s="113" t="str">
        <f>IF(ISERROR(VLOOKUP($C45,Uncertainties_sources!$B25:$D44,3,0)),"",VLOOKUP($C45,Uncertainties_sources!$B25:$D44,3,0))</f>
        <v>B</v>
      </c>
      <c r="E45" s="113" t="str">
        <f>IF(ISERROR(VLOOKUP($C45,Uncertainties_sources!$B25:$E44,4,0)),"",VLOOKUP($C45,Uncertainties_sources!$B25:$E44,4,0))</f>
        <v>%</v>
      </c>
      <c r="F45" s="113" t="str">
        <f>IF(ISERROR(VLOOKUP($C45,Uncertainties_sources!$B25:$F44,5,0)),"",VLOOKUP($C45,Uncertainties_sources!$B25:$F44,5,0))</f>
        <v>Normal (2)</v>
      </c>
      <c r="G45" s="114">
        <f>IF(ISERROR(VLOOKUP($C45,Uncertainties_sources!$B25:$G44,6,0)),"",VLOOKUP($C45,Uncertainties_sources!$B25:$G44,6,0))</f>
        <v>4.6000000000000005</v>
      </c>
      <c r="H45" s="113">
        <f>IF(ISERROR(VLOOKUP($C45,Uncertainties_sources!$B25:$I44,8,0)),"",VLOOKUP($C45,Uncertainties_sources!$B25:$I44,8,0))</f>
        <v>2</v>
      </c>
      <c r="I45" s="115">
        <f>IF(C45="","",INDEX(Uncertainties_sources!D$37:T$63,MATCH(C45,Uncertainties_sources!B$37:B$63,0),MATCH(J$6,Uncertainties_sources!D$35:T$35,0)))</f>
        <v>1.4139999999999999</v>
      </c>
      <c r="J45" s="114">
        <f>IF(I45&lt;&gt;"",G45/H45*I45,"")</f>
        <v>3.2522000000000002</v>
      </c>
      <c r="K45" s="116">
        <f>IF(I45&lt;&gt;"",J45^2,"")</f>
        <v>10.576804840000001</v>
      </c>
      <c r="L45" s="117">
        <f>IF(ISERROR(VLOOKUP($C45,Uncertainties_sources!$B25:$J44,9,0)),"",(I45*J45)^4/VLOOKUP($C45,Uncertainties_sources!$B25:$J44,9,0))</f>
        <v>8.9440993656602394E-2</v>
      </c>
    </row>
    <row r="46" spans="1:12" ht="14.5" x14ac:dyDescent="0.35">
      <c r="A46" s="25">
        <v>2</v>
      </c>
      <c r="B46" s="111" t="str">
        <f>IF(ISERROR(VLOOKUP($C46,Uncertainties_sources!$B$60:$C$63,2,0)),"",VLOOKUP($C46,Uncertainties_sources!$B$60:$C$63,2,0))</f>
        <v>Relative uncertainty related to the repeatability of the test cord connector mating to cabling connectors</v>
      </c>
      <c r="C46" s="112" t="str">
        <f>IF(ISERROR(VLOOKUP($A46,Uncertainties_sources!$A$60:$B$63,2,0)),"",VLOOKUP($A46,Uncertainties_sources!$A$60:$B$63,2,0))</f>
        <v>5.2.7.2</v>
      </c>
      <c r="D46" s="113" t="str">
        <f>IF(ISERROR(VLOOKUP($C46,Uncertainties_sources!$B28:$D45,3,0)),"",VLOOKUP($C46,Uncertainties_sources!$B28:$D45,3,0))</f>
        <v>B</v>
      </c>
      <c r="E46" s="113" t="str">
        <f>IF(ISERROR(VLOOKUP($C46,Uncertainties_sources!$B28:$E45,4,0)),"",VLOOKUP($C46,Uncertainties_sources!$B28:$E45,4,0))</f>
        <v>%</v>
      </c>
      <c r="F46" s="113" t="str">
        <f>IF(ISERROR(VLOOKUP($C46,Uncertainties_sources!$B28:$F45,5,0)),"",VLOOKUP($C46,Uncertainties_sources!$B28:$F45,5,0))</f>
        <v>Normal (2)</v>
      </c>
      <c r="G46" s="114">
        <f>IF(ISERROR(VLOOKUP($C46,Uncertainties_sources!$B28:$G45,6,0)),"",VLOOKUP($C46,Uncertainties_sources!$B28:$G45,6,0))</f>
        <v>1.1500000000000001</v>
      </c>
      <c r="H46" s="113">
        <f>IF(ISERROR(VLOOKUP($C46,Uncertainties_sources!$B28:$I45,8,0)),"",VLOOKUP($C46,Uncertainties_sources!$B28:$I45,8,0))</f>
        <v>2</v>
      </c>
      <c r="I46" s="115">
        <f>IF(C46="","",INDEX(Uncertainties_sources!D$37:T$63,MATCH(C46,Uncertainties_sources!B$37:B$63,0),MATCH(J$6,Uncertainties_sources!D$35:T$35,0)))</f>
        <v>1.4139999999999999</v>
      </c>
      <c r="J46" s="114">
        <f t="shared" ref="J46" si="3">IF(I46&lt;&gt;"",G46/H46*I46,"")</f>
        <v>0.81305000000000005</v>
      </c>
      <c r="K46" s="116">
        <f>IF(I46&lt;&gt;"",J46^2,"")</f>
        <v>0.66105030250000008</v>
      </c>
      <c r="L46" s="117">
        <f>IF(ISERROR(VLOOKUP($C46,Uncertainties_sources!$B28:$J45,9,0)),"",(I46*J46)^4/VLOOKUP($C46,Uncertainties_sources!$B28:$J45,9,0))</f>
        <v>3.493788814711031E-4</v>
      </c>
    </row>
    <row r="47" spans="1:12" ht="14.5" x14ac:dyDescent="0.35">
      <c r="A47" s="25">
        <v>3</v>
      </c>
      <c r="B47" s="111" t="str">
        <f>IF(ISERROR(VLOOKUP($C47,Uncertainties_sources!$B$60:$C$63,2,0)),"",VLOOKUP($C47,Uncertainties_sources!$B$60:$C$63,2,0))</f>
        <v/>
      </c>
      <c r="C47" s="112" t="str">
        <f>IF(ISERROR(VLOOKUP($A47,Uncertainties_sources!$A$60:$B$63,2,0)),"",VLOOKUP($A47,Uncertainties_sources!$A$60:$B$63,2,0))</f>
        <v/>
      </c>
      <c r="D47" s="113" t="str">
        <f>IF(ISERROR(VLOOKUP($C47,Uncertainties_sources!$B29:$D46,3,0)),"",VLOOKUP($C47,Uncertainties_sources!$B29:$D46,3,0))</f>
        <v/>
      </c>
      <c r="E47" s="113" t="str">
        <f>IF(ISERROR(VLOOKUP($C47,Uncertainties_sources!$B29:$E46,4,0)),"",VLOOKUP($C47,Uncertainties_sources!$B29:$E46,4,0))</f>
        <v/>
      </c>
      <c r="F47" s="113" t="str">
        <f>IF(ISERROR(VLOOKUP($C47,Uncertainties_sources!$B29:$F46,5,0)),"",VLOOKUP($C47,Uncertainties_sources!$B29:$F46,5,0))</f>
        <v/>
      </c>
      <c r="G47" s="114" t="str">
        <f>IF(ISERROR(VLOOKUP($C47,Uncertainties_sources!$B29:$G46,6,0)),"",VLOOKUP($C47,Uncertainties_sources!$B29:$G46,6,0))</f>
        <v/>
      </c>
      <c r="H47" s="113" t="str">
        <f>IF(ISERROR(VLOOKUP($C47,Uncertainties_sources!$B29:$I46,8,0)),"",VLOOKUP($C47,Uncertainties_sources!$B29:$I46,8,0))</f>
        <v/>
      </c>
      <c r="I47" s="115" t="str">
        <f>IF(C47="","",INDEX(Uncertainties_sources!D$37:T$63,MATCH(C47,Uncertainties_sources!B$37:B$63,0),MATCH(J$6,Uncertainties_sources!D$35:T$35,0)))</f>
        <v/>
      </c>
      <c r="J47" s="114" t="str">
        <f>IF(I47&lt;&gt;"",G47/H47*I47,"")</f>
        <v/>
      </c>
      <c r="K47" s="116" t="str">
        <f>IF(I47&lt;&gt;"",J47^2,"")</f>
        <v/>
      </c>
      <c r="L47" s="117" t="str">
        <f>IF(ISERROR(VLOOKUP($C47,Uncertainties_sources!$B29:$J46,9,0)),"",(I47*J47)^4/VLOOKUP($C47,Uncertainties_sources!$B29:$J46,9,0))</f>
        <v/>
      </c>
    </row>
    <row r="48" spans="1:12" ht="14.5" x14ac:dyDescent="0.35">
      <c r="A48" s="25">
        <v>4</v>
      </c>
      <c r="B48" s="111" t="str">
        <f>IF(ISERROR(VLOOKUP($C48,Uncertainties_sources!$B$60:$C$63,2,0)),"",VLOOKUP($C48,Uncertainties_sources!$B$60:$C$63,2,0))</f>
        <v/>
      </c>
      <c r="C48" s="112" t="str">
        <f>IF(ISERROR(VLOOKUP($A48,Uncertainties_sources!$A$60:$B$63,2,0)),"",VLOOKUP($A48,Uncertainties_sources!$A$60:$B$63,2,0))</f>
        <v/>
      </c>
      <c r="D48" s="113" t="str">
        <f>IF(ISERROR(VLOOKUP($C48,Uncertainties_sources!$B30:$D47,3,0)),"",VLOOKUP($C48,Uncertainties_sources!$B30:$D47,3,0))</f>
        <v/>
      </c>
      <c r="E48" s="113" t="str">
        <f>IF(ISERROR(VLOOKUP($C48,Uncertainties_sources!$B30:$E47,4,0)),"",VLOOKUP($C48,Uncertainties_sources!$B30:$E47,4,0))</f>
        <v/>
      </c>
      <c r="F48" s="113" t="str">
        <f>IF(ISERROR(VLOOKUP($C48,Uncertainties_sources!$B30:$F47,5,0)),"",VLOOKUP($C48,Uncertainties_sources!$B30:$F47,5,0))</f>
        <v/>
      </c>
      <c r="G48" s="114" t="str">
        <f>IF(ISERROR(VLOOKUP($C48,Uncertainties_sources!$B30:$G47,6,0)),"",VLOOKUP($C48,Uncertainties_sources!$B30:$G47,6,0))</f>
        <v/>
      </c>
      <c r="H48" s="113" t="str">
        <f>IF(ISERROR(VLOOKUP($C48,Uncertainties_sources!$B30:$I47,8,0)),"",VLOOKUP($C48,Uncertainties_sources!$B30:$I47,8,0))</f>
        <v/>
      </c>
      <c r="I48" s="115" t="str">
        <f>IF(C48="","",INDEX(Uncertainties_sources!D$37:T$63,MATCH(C48,Uncertainties_sources!B$37:B$63,0),MATCH(J$6,Uncertainties_sources!D$35:T$35,0)))</f>
        <v/>
      </c>
      <c r="J48" s="114" t="str">
        <f t="shared" ref="J48" si="4">IF(I48&lt;&gt;"",G48/H48*I48,"")</f>
        <v/>
      </c>
      <c r="K48" s="116" t="str">
        <f>IF(I48&lt;&gt;"",J48^2,"")</f>
        <v/>
      </c>
      <c r="L48" s="117" t="str">
        <f>IF(ISERROR(VLOOKUP($C48,Uncertainties_sources!$B30:$J47,9,0)),"",(I48*J48)^4/VLOOKUP($C48,Uncertainties_sources!$B30:$J47,9,0))</f>
        <v/>
      </c>
    </row>
    <row r="49" spans="2:12" ht="14.5" x14ac:dyDescent="0.35">
      <c r="K49" s="123">
        <f>SQRT(SUM(K45:K48))</f>
        <v>3.3522910289084389</v>
      </c>
      <c r="L49" s="98">
        <f>SUM(L45:L48)</f>
        <v>8.9790372538073496E-2</v>
      </c>
    </row>
    <row r="51" spans="2:12" ht="13" x14ac:dyDescent="0.25">
      <c r="B51" s="99" t="s">
        <v>170</v>
      </c>
    </row>
    <row r="52" spans="2:12" ht="15.5" x14ac:dyDescent="0.25">
      <c r="B52" s="100"/>
      <c r="C52" s="101"/>
      <c r="D52" s="101"/>
      <c r="E52" s="100"/>
      <c r="F52" s="101"/>
      <c r="G52" s="101"/>
      <c r="H52" s="101"/>
      <c r="I52" s="101"/>
      <c r="J52" s="102"/>
      <c r="K52" s="100"/>
      <c r="L52" s="100" t="s">
        <v>171</v>
      </c>
    </row>
    <row r="53" spans="2:12" ht="14.5" x14ac:dyDescent="0.35">
      <c r="L53" s="139">
        <f>D10^4/(L34+L41+L49)</f>
        <v>909.66411696408431</v>
      </c>
    </row>
  </sheetData>
  <mergeCells count="27">
    <mergeCell ref="J20:K20"/>
    <mergeCell ref="F13:I13"/>
    <mergeCell ref="F8:I8"/>
    <mergeCell ref="J8:K8"/>
    <mergeCell ref="F9:I9"/>
    <mergeCell ref="F10:I10"/>
    <mergeCell ref="F11:I11"/>
    <mergeCell ref="F12:I12"/>
    <mergeCell ref="F17:I17"/>
    <mergeCell ref="F18:I18"/>
    <mergeCell ref="F20:I20"/>
    <mergeCell ref="L13:M13"/>
    <mergeCell ref="F14:I14"/>
    <mergeCell ref="F15:I15"/>
    <mergeCell ref="L15:M15"/>
    <mergeCell ref="F16:I16"/>
    <mergeCell ref="J16:K16"/>
    <mergeCell ref="B2:F2"/>
    <mergeCell ref="I2:L2"/>
    <mergeCell ref="F6:I6"/>
    <mergeCell ref="J6:K6"/>
    <mergeCell ref="F7:I7"/>
    <mergeCell ref="J7:K7"/>
    <mergeCell ref="B3:F3"/>
    <mergeCell ref="F4:K4"/>
    <mergeCell ref="F5:I5"/>
    <mergeCell ref="J5:K5"/>
  </mergeCells>
  <conditionalFormatting sqref="J9">
    <cfRule type="expression" dxfId="15" priority="15">
      <formula>(E9=0)</formula>
    </cfRule>
    <cfRule type="cellIs" dxfId="14" priority="28" operator="between">
      <formula>800</formula>
      <formula>1675</formula>
    </cfRule>
    <cfRule type="cellIs" priority="29" operator="between">
      <formula>800</formula>
      <formula>1675</formula>
    </cfRule>
  </conditionalFormatting>
  <conditionalFormatting sqref="J10">
    <cfRule type="cellIs" dxfId="13" priority="30" operator="greaterThan">
      <formula>100</formula>
    </cfRule>
  </conditionalFormatting>
  <conditionalFormatting sqref="J12">
    <cfRule type="expression" dxfId="12" priority="1">
      <formula>(E12=0)</formula>
    </cfRule>
  </conditionalFormatting>
  <conditionalFormatting sqref="J6:K7">
    <cfRule type="expression" dxfId="10" priority="10">
      <formula>(E6=0)</formula>
    </cfRule>
  </conditionalFormatting>
  <conditionalFormatting sqref="J20:K20">
    <cfRule type="containsText" dxfId="7" priority="16" operator="containsText" text="Assymetrical noise">
      <formula>NOT(ISERROR(SEARCH("Assymetrical noise",J20)))</formula>
    </cfRule>
    <cfRule type="containsText" dxfId="6" priority="17" stopIfTrue="1" operator="containsText" text="No">
      <formula>NOT(ISERROR(SEARCH("No",J20)))</formula>
    </cfRule>
  </conditionalFormatting>
  <dataValidations count="11">
    <dataValidation type="decimal" allowBlank="1" showInputMessage="1" showErrorMessage="1" sqref="J15 J17" xr:uid="{D01B735D-08BF-406C-A911-740B1F910C32}">
      <formula1>0.01</formula1>
      <formula2>100</formula2>
    </dataValidation>
    <dataValidation type="decimal" allowBlank="1" showInputMessage="1" showErrorMessage="1" sqref="J13" xr:uid="{0C6186FB-84CA-41B7-B592-0B6F822A62DA}">
      <formula1>0.05</formula1>
      <formula2>20</formula2>
    </dataValidation>
    <dataValidation type="decimal" allowBlank="1" showInputMessage="1" showErrorMessage="1" sqref="J14" xr:uid="{D09FB220-FC64-4792-B5BE-C4EA955B2C36}">
      <formula1>1</formula1>
      <formula2>5000</formula2>
    </dataValidation>
    <dataValidation type="decimal" allowBlank="1" showInputMessage="1" showErrorMessage="1" sqref="J17" xr:uid="{43ED4985-DF90-405D-9AF0-B25F639667E7}">
      <formula1>0</formula1>
      <formula2>0.5</formula2>
    </dataValidation>
    <dataValidation type="list" allowBlank="1" showInputMessage="1" showErrorMessage="1" sqref="J7:K7" xr:uid="{8752C13D-65A3-4897-93FA-361AA90BECF8}">
      <formula1>INDIRECT(SUBSTITUTE(J5,"-",""))</formula1>
    </dataValidation>
    <dataValidation type="whole" allowBlank="1" showInputMessage="1" showErrorMessage="1" sqref="J18" xr:uid="{D2C489B8-C046-45D0-870E-C1268498CD7D}">
      <formula1>-40</formula1>
      <formula2>20</formula2>
    </dataValidation>
    <dataValidation type="whole" allowBlank="1" showInputMessage="1" showErrorMessage="1" sqref="J10" xr:uid="{DC0B259C-B58A-4D49-95B5-1D324739DF52}">
      <formula1>0</formula1>
      <formula2>100</formula2>
    </dataValidation>
    <dataValidation type="list" allowBlank="1" showInputMessage="1" showErrorMessage="1" sqref="J6:K6" xr:uid="{5FE774FF-EF8F-4DCF-B189-F646BD0BB692}">
      <formula1>INDIRECT(SUBSTITUTE(J5,"-","_"))</formula1>
    </dataValidation>
    <dataValidation type="list" allowBlank="1" showInputMessage="1" showErrorMessage="1" sqref="J16 J8:K8" xr:uid="{EC97C18B-63FB-4DCD-A8B1-419CBFA6BBCA}">
      <formula1>"1,2"</formula1>
    </dataValidation>
    <dataValidation type="decimal" allowBlank="1" showInputMessage="1" showErrorMessage="1" sqref="J11" xr:uid="{B21545E4-5E11-4B95-B4F9-2C9682520EC9}">
      <formula1>0</formula1>
      <formula2>50</formula2>
    </dataValidation>
    <dataValidation type="decimal" allowBlank="1" showInputMessage="1" showErrorMessage="1" sqref="J18" xr:uid="{1AA84F23-38B3-4D88-8841-B8E3F2D95DBD}">
      <formula1>-40</formula1>
      <formula2>20</formula2>
    </dataValidation>
  </dataValidations>
  <printOptions horizontalCentered="1"/>
  <pageMargins left="0.23622047244094491" right="0.23622047244094491" top="0.55118110236220474" bottom="0.55118110236220474" header="0.11811023622047245" footer="0.11811023622047245"/>
  <pageSetup paperSize="9" scale="73" fitToWidth="0" fitToHeight="0" orientation="landscape" r:id="rId1"/>
  <headerFooter>
    <oddHeader>&amp;C&amp;F</oddHeader>
    <oddFooter>Page &amp;P</oddFooter>
    <evenHeader>&amp;C&amp;F</evenHeader>
    <evenFooter>&amp;CPage &amp;P</evenFooter>
    <firstHeader>&amp;C&amp;F</firstHeader>
    <firstFooter>&amp;CPage &amp;P</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46" id="{4B98E842-23FB-4E54-85C5-ADF05DE8C96D}">
            <xm:f>(INDEX(Setup_tables!C$18:S$18,1,MATCH(J$6,Setup_tables!C$16:S$16,0))="OPM")</xm:f>
            <x14:dxf>
              <font>
                <color theme="0"/>
              </font>
            </x14:dxf>
          </x14:cfRule>
          <xm:sqref>F13:F15</xm:sqref>
        </x14:conditionalFormatting>
        <x14:conditionalFormatting xmlns:xm="http://schemas.microsoft.com/office/excel/2006/main">
          <x14:cfRule type="expression" priority="52" id="{2BE9CBBA-3E58-4B84-813E-8DFCD389E6CC}">
            <xm:f>(INDEX(Setup_tables!C$19:R$124,1,MATCH(J$6,Setup_tables!C$16:S$16,0))="False")</xm:f>
            <x14:dxf>
              <font>
                <color theme="0"/>
              </font>
            </x14:dxf>
          </x14:cfRule>
          <xm:sqref>F16:F18</xm:sqref>
        </x14:conditionalFormatting>
        <x14:conditionalFormatting xmlns:xm="http://schemas.microsoft.com/office/excel/2006/main">
          <x14:cfRule type="expression" priority="44" id="{5D5CE67A-064B-4823-8166-D6160345667A}">
            <xm:f>(INDEX(Setup_tables!C$20:S$20,1,MATCH(J$6,Setup_tables!C$16:S$16,0))="False")</xm:f>
            <x14:dxf>
              <font>
                <color theme="0"/>
              </font>
            </x14:dxf>
          </x14:cfRule>
          <xm:sqref>F8:I8</xm:sqref>
        </x14:conditionalFormatting>
        <x14:conditionalFormatting xmlns:xm="http://schemas.microsoft.com/office/excel/2006/main">
          <x14:cfRule type="expression" priority="47" id="{3B85D84A-0B2A-4BE6-84A2-F5BDBA6AA7DF}">
            <xm:f>(INDEX(Setup_tables!C$18:S$18,1,MATCH(J$6,Setup_tables!C$16:S$16,0))="OPM")</xm:f>
            <x14:dxf>
              <font>
                <color theme="0"/>
              </font>
            </x14:dxf>
          </x14:cfRule>
          <xm:sqref>J13:J15</xm:sqref>
        </x14:conditionalFormatting>
        <x14:conditionalFormatting xmlns:xm="http://schemas.microsoft.com/office/excel/2006/main">
          <x14:cfRule type="expression" priority="45" id="{0179D5F3-94FF-476C-8C80-F840D3EED562}">
            <xm:f>(INDEX(Setup_tables!C$20:S$20,1,MATCH(J$6,Setup_tables!C$16:S$16,0))="False")</xm:f>
            <x14:dxf>
              <font>
                <color theme="0"/>
              </font>
            </x14:dxf>
          </x14:cfRule>
          <xm:sqref>J8:K8</xm:sqref>
        </x14:conditionalFormatting>
        <x14:conditionalFormatting xmlns:xm="http://schemas.microsoft.com/office/excel/2006/main">
          <x14:cfRule type="expression" priority="55" id="{239B6D3F-640A-4EFA-BA8D-FF0119EAC196}">
            <xm:f>(INDEX(Setup_tables!C$19:R$124,1,MATCH(J$6,Setup_tables!C$16:S$16,0))="False")</xm:f>
            <x14:dxf>
              <font>
                <color theme="0"/>
              </font>
            </x14:dxf>
          </x14:cfRule>
          <xm:sqref>J16:K16 J17:J18</xm:sqref>
        </x14:conditionalFormatting>
        <x14:conditionalFormatting xmlns:xm="http://schemas.microsoft.com/office/excel/2006/main">
          <x14:cfRule type="expression" priority="41" id="{20F9584F-4D9B-4237-9116-295684B94A6D}">
            <xm:f>(INDEX(Setup_tables!C$18:S$18,1,MATCH(J$6,Setup_tables!C$16:S$16,0))="OPM")</xm:f>
            <x14:dxf>
              <font>
                <color theme="0"/>
              </font>
            </x14:dxf>
          </x14:cfRule>
          <xm:sqref>K13:K15</xm:sqref>
        </x14:conditionalFormatting>
        <x14:conditionalFormatting xmlns:xm="http://schemas.microsoft.com/office/excel/2006/main">
          <x14:cfRule type="expression" priority="59" id="{FDDA34A7-0F00-4461-90B9-738A96DB2E59}">
            <xm:f>(INDEX(Setup_tables!C$19:R$124,1,MATCH(J$6,Setup_tables!C$16:S$16,0))="False")</xm:f>
            <x14:dxf>
              <font>
                <color theme="0"/>
              </font>
            </x14:dxf>
          </x14:cfRule>
          <xm:sqref>K17:K18</xm:sqref>
        </x14:conditionalFormatting>
        <x14:conditionalFormatting xmlns:xm="http://schemas.microsoft.com/office/excel/2006/main">
          <x14:cfRule type="expression" priority="42" id="{3C6205A7-D520-4829-9F9C-38DDF272F71B}">
            <xm:f>(INDEX(Setup_tables!C$18:S$18,1,MATCH(J$6,Setup_tables!C$16:S$16,0))="OPM")</xm:f>
            <x14:dxf>
              <font>
                <color theme="0"/>
              </font>
              <fill>
                <patternFill patternType="none">
                  <bgColor auto="1"/>
                </patternFill>
              </fill>
            </x14:dxf>
          </x14:cfRule>
          <xm:sqref>L13:L15</xm:sqref>
        </x14:conditionalFormatting>
        <x14:conditionalFormatting xmlns:xm="http://schemas.microsoft.com/office/excel/2006/main">
          <x14:cfRule type="expression" priority="4" id="{37F83BCA-3F2A-4A95-90AB-8B6898206A5C}">
            <xm:f>(INDEX(Setup_tables!C$18:S$18,1,MATCH(J$6,Setup_tables!C$16:S$16,0))="OPM")</xm:f>
            <x14:dxf>
              <font>
                <color theme="0"/>
              </font>
              <fill>
                <patternFill patternType="none">
                  <bgColor auto="1"/>
                </patternFill>
              </fill>
            </x14:dxf>
          </x14:cfRule>
          <xm:sqref>M14</xm:sqref>
        </x14:conditionalFormatting>
        <x14:conditionalFormatting xmlns:xm="http://schemas.microsoft.com/office/excel/2006/main">
          <x14:cfRule type="expression" priority="3" id="{18056072-DECD-41EA-9FE6-0F32198C011D}">
            <xm:f>(INDEX(Setup_tables!C$18:S$18,1,MATCH(J$6,Setup_tables!C$16:S$16,0))="OPM")</xm:f>
            <x14:dxf>
              <font>
                <color theme="0"/>
              </font>
              <fill>
                <patternFill patternType="none">
                  <bgColor auto="1"/>
                </patternFill>
              </fill>
            </x14:dxf>
          </x14:cfRule>
          <xm:sqref>N13:N15</xm:sqref>
        </x14:conditionalFormatting>
        <x14:conditionalFormatting xmlns:xm="http://schemas.microsoft.com/office/excel/2006/main">
          <x14:cfRule type="expression" priority="2" id="{C4E09DFF-FDAF-49D7-8D83-73B6276BBE5D}">
            <xm:f>(INDEX(Setup_tables!C$18:S$18,1,MATCH(J$6,Setup_tables!C$16:S$16,0))="OPM")</xm:f>
            <x14:dxf>
              <font>
                <color theme="0"/>
              </font>
              <fill>
                <patternFill patternType="none">
                  <bgColor auto="1"/>
                </patternFill>
              </fill>
            </x14:dxf>
          </x14:cfRule>
          <xm:sqref>O13:O15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4E1943E-9DFF-4C91-AFDA-0572F522215A}">
          <x14:formula1>
            <xm:f>OFFSET(Setup_tables!$B$7,0,0,3)</xm:f>
          </x14:formula1>
          <xm:sqref>J5:K5</xm:sqref>
        </x14:dataValidation>
        <x14:dataValidation type="decimal" allowBlank="1" showInputMessage="1" showErrorMessage="1" xr:uid="{A2CC7F79-52B8-46A3-A819-180131A2838B}">
          <x14:formula1>
            <xm:f>0.1</xm:f>
          </x14:formula1>
          <x14:formula2>
            <xm:f>INDEX(Setup_tables!C$26:S$26,1,MATCH(J$6,Setup_tables!C$16:S$16,0))</xm:f>
          </x14:formula2>
          <xm:sqref>J12</xm:sqref>
        </x14:dataValidation>
        <x14:dataValidation type="whole" allowBlank="1" showInputMessage="1" showErrorMessage="1" xr:uid="{1D8899C9-196D-431B-8E1A-F1BE4650D59A}">
          <x14:formula1>
            <xm:f>INDEX(Setup_tables!C$22:S$22,1,MATCH(J$6,Setup_tables!C$16:S$16,0))</xm:f>
          </x14:formula1>
          <x14:formula2>
            <xm:f>INDEX(Setup_tables!C$23:S$23,1,MATCH(J$6,Setup_tables!C$16:S$16,0))</xm:f>
          </x14:formula2>
          <xm:sqref>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212F-720A-46FB-BEED-BC2037D42E69}">
  <sheetPr codeName="Feuil3"/>
  <dimension ref="A1:AD69"/>
  <sheetViews>
    <sheetView zoomScaleNormal="100" workbookViewId="0">
      <selection activeCell="H24" sqref="H24"/>
    </sheetView>
  </sheetViews>
  <sheetFormatPr defaultColWidth="11.453125" defaultRowHeight="12.5" x14ac:dyDescent="0.25"/>
  <cols>
    <col min="1" max="1" width="7.26953125" style="1" customWidth="1"/>
    <col min="2" max="2" width="9.7265625" style="1" customWidth="1"/>
    <col min="3" max="3" width="90" style="23" customWidth="1"/>
    <col min="4" max="4" width="11.7265625" style="23" customWidth="1"/>
    <col min="5" max="5" width="8.26953125" style="1" customWidth="1"/>
    <col min="6" max="6" width="13.453125" style="1" customWidth="1"/>
    <col min="7" max="8" width="10.7265625" style="1" customWidth="1"/>
    <col min="9" max="9" width="9.7265625" style="1" customWidth="1"/>
    <col min="10" max="10" width="8.7265625" style="1" customWidth="1"/>
    <col min="11" max="13" width="11.453125" style="1" customWidth="1"/>
    <col min="14" max="14" width="12.453125" style="1" bestFit="1" customWidth="1"/>
    <col min="15" max="15" width="12.26953125" style="1" customWidth="1"/>
    <col min="16" max="16" width="15" style="1" customWidth="1"/>
    <col min="17" max="17" width="11.453125" style="1" customWidth="1"/>
    <col min="18" max="18" width="12.453125" style="1" customWidth="1"/>
    <col min="19" max="19" width="11.453125" style="1" customWidth="1"/>
    <col min="20" max="16384" width="11.453125" style="1"/>
  </cols>
  <sheetData>
    <row r="1" spans="2:30" ht="13" thickBot="1" x14ac:dyDescent="0.3">
      <c r="N1" s="25"/>
      <c r="O1" s="25"/>
      <c r="P1" s="25"/>
      <c r="Q1" s="25"/>
      <c r="R1" s="25"/>
      <c r="S1" s="25"/>
      <c r="T1" s="25"/>
      <c r="U1" s="25"/>
      <c r="V1" s="25"/>
      <c r="W1" s="25"/>
      <c r="X1" s="25"/>
      <c r="Y1" s="25"/>
      <c r="Z1" s="25"/>
      <c r="AA1" s="25"/>
      <c r="AB1" s="25"/>
      <c r="AC1" s="25"/>
      <c r="AD1" s="25"/>
    </row>
    <row r="2" spans="2:30" ht="37.5" customHeight="1" thickBot="1" x14ac:dyDescent="0.3">
      <c r="C2" s="212" t="s">
        <v>247</v>
      </c>
      <c r="D2" s="212"/>
      <c r="E2" s="212"/>
      <c r="F2" s="212"/>
      <c r="G2" s="212"/>
      <c r="J2" s="179" t="s">
        <v>248</v>
      </c>
      <c r="K2" s="180"/>
      <c r="L2" s="180"/>
      <c r="M2" s="181"/>
      <c r="N2" s="25"/>
      <c r="O2" s="25"/>
      <c r="P2" s="25"/>
      <c r="Q2" s="25"/>
      <c r="R2" s="25"/>
      <c r="S2" s="25"/>
      <c r="T2" s="25"/>
      <c r="U2" s="25"/>
      <c r="V2" s="25"/>
      <c r="W2" s="25"/>
      <c r="X2" s="25"/>
      <c r="Y2" s="25"/>
      <c r="Z2" s="25"/>
      <c r="AA2" s="25"/>
      <c r="AB2" s="25"/>
      <c r="AC2" s="25"/>
      <c r="AD2" s="25"/>
    </row>
    <row r="3" spans="2:30" ht="13" x14ac:dyDescent="0.3">
      <c r="B3" s="213"/>
      <c r="C3" s="213"/>
      <c r="D3" s="19"/>
      <c r="N3" s="25"/>
      <c r="O3" s="25"/>
      <c r="P3" s="25"/>
      <c r="Q3" s="25"/>
      <c r="R3" s="25"/>
      <c r="S3" s="25"/>
      <c r="T3" s="25"/>
      <c r="U3" s="25"/>
      <c r="V3" s="25"/>
      <c r="W3" s="25"/>
      <c r="X3" s="25"/>
      <c r="Y3" s="25"/>
      <c r="Z3" s="25"/>
      <c r="AA3" s="25"/>
      <c r="AB3" s="25"/>
      <c r="AC3" s="25"/>
      <c r="AD3" s="25"/>
    </row>
    <row r="4" spans="2:30" ht="51" customHeight="1" x14ac:dyDescent="0.25">
      <c r="B4" s="51" t="s">
        <v>86</v>
      </c>
      <c r="C4" s="46" t="s">
        <v>81</v>
      </c>
      <c r="D4" s="47" t="s">
        <v>82</v>
      </c>
      <c r="E4" s="46" t="s">
        <v>83</v>
      </c>
      <c r="F4" s="47" t="s">
        <v>84</v>
      </c>
      <c r="G4" s="47" t="s">
        <v>35</v>
      </c>
      <c r="H4" s="47" t="s">
        <v>32</v>
      </c>
      <c r="I4" s="47" t="s">
        <v>85</v>
      </c>
      <c r="J4" s="52" t="s">
        <v>87</v>
      </c>
      <c r="K4" s="214" t="s">
        <v>88</v>
      </c>
      <c r="L4" s="215"/>
      <c r="M4" s="216"/>
      <c r="N4" s="122"/>
      <c r="O4" s="122"/>
      <c r="P4" s="122"/>
      <c r="Q4" s="122"/>
      <c r="R4" s="122"/>
      <c r="S4" s="122"/>
      <c r="T4" s="122"/>
      <c r="U4" s="122"/>
      <c r="V4" s="122"/>
      <c r="W4" s="122"/>
      <c r="X4" s="122"/>
      <c r="Y4" s="122"/>
      <c r="Z4" s="122"/>
      <c r="AA4" s="122"/>
      <c r="AB4" s="122"/>
      <c r="AC4" s="122"/>
      <c r="AD4" s="122"/>
    </row>
    <row r="5" spans="2:30" ht="12.75" customHeight="1" x14ac:dyDescent="0.25">
      <c r="B5" s="53" t="s">
        <v>89</v>
      </c>
      <c r="C5" s="54" t="s">
        <v>90</v>
      </c>
      <c r="D5" s="48" t="s">
        <v>91</v>
      </c>
      <c r="E5" s="48" t="s">
        <v>35</v>
      </c>
      <c r="F5" s="48" t="s">
        <v>92</v>
      </c>
      <c r="G5" s="55">
        <f>23*H5</f>
        <v>2.3000000000000003</v>
      </c>
      <c r="H5" s="56">
        <f>Uncertainties_estimation!J17</f>
        <v>0.1</v>
      </c>
      <c r="I5" s="56">
        <v>2</v>
      </c>
      <c r="J5" s="57">
        <v>200</v>
      </c>
      <c r="K5" s="209" t="s">
        <v>93</v>
      </c>
      <c r="L5" s="210"/>
      <c r="M5" s="211"/>
      <c r="N5" s="140">
        <v>3.992E+20</v>
      </c>
      <c r="O5" s="140">
        <v>-1844000000000000</v>
      </c>
      <c r="P5" s="140">
        <f>$L$4+$M$4*$A40+$N$4*$A40^2+$O$4*$A40^3+$P$4*$A40^4+$Q$4*$A40^5+$R$4*($A40^6)</f>
        <v>0</v>
      </c>
      <c r="Q5" s="25"/>
      <c r="R5" s="25"/>
      <c r="S5" s="25"/>
      <c r="T5" s="25"/>
      <c r="U5" s="25"/>
      <c r="V5" s="25"/>
      <c r="W5" s="25"/>
      <c r="X5" s="25"/>
      <c r="Y5" s="25"/>
      <c r="Z5" s="25"/>
      <c r="AA5" s="122"/>
      <c r="AB5" s="122"/>
      <c r="AC5" s="122"/>
      <c r="AD5" s="122"/>
    </row>
    <row r="6" spans="2:30" ht="12.75" customHeight="1" x14ac:dyDescent="0.25">
      <c r="B6" s="53" t="s">
        <v>172</v>
      </c>
      <c r="C6" s="54" t="s">
        <v>94</v>
      </c>
      <c r="D6" s="48" t="s">
        <v>95</v>
      </c>
      <c r="E6" s="48" t="s">
        <v>35</v>
      </c>
      <c r="F6" s="48" t="s">
        <v>96</v>
      </c>
      <c r="G6" s="55">
        <f>ABS(100000*Uncertainties_estimation!J12*Uncertainties_estimation!J10*IF(Uncertainties_estimation!J5&lt;&gt;"LSPM-MM",IF(Uncertainties_estimation!J9&lt;1385,S8+2*T8*Uncertainties_estimation!J9+3*U8*Uncertainties_estimation!J9^2+4*V8*Uncertainties_estimation!J9^3+5*W8*Uncertainties_estimation!J9^4+6*X8*Uncertainties_estimation!J9^5,S9+2*T9*Uncertainties_estimation!J9+3*U9*Uncertainties_estimation!J9^2+4*V9*Uncertainties_estimation!J9^3+5*W9*Uncertainties_estimation!J9^4+6*X9*Uncertainties_estimation!J9^5),(S7+2*T7*Uncertainties_estimation!J9+3*U7*Uncertainties_estimation!J9^2+4*V7*Uncertainties_estimation!J9^3+5*W7*Uncertainties_estimation!J9^4+6*X7*Uncertainties_estimation!J9^5)))</f>
        <v>1.4891086200001731</v>
      </c>
      <c r="H6" s="56">
        <f>0.0434*ABS(G6)</f>
        <v>6.4627314108007511E-2</v>
      </c>
      <c r="I6" s="56">
        <f t="shared" ref="I6:I31" si="0">IF(F6="Rectangular (1)", SQRT(3),IF(F6="Rectangular (2)",2*SQRT(3),IF(F6="Normal (2)",2,IF(F6="Normal (3)",3,1))))</f>
        <v>2</v>
      </c>
      <c r="J6" s="58">
        <v>200</v>
      </c>
      <c r="K6" s="209" t="s">
        <v>97</v>
      </c>
      <c r="L6" s="210"/>
      <c r="M6" s="211"/>
      <c r="N6" s="140">
        <f>(3*N5*(Uncertainties_estimation!J8*0.000000001)^2+2*Uncertainties_sources!O5*(Uncertainties_estimation!J8*0.000000001)+Uncertainties_sources!P5)*(Uncertainties_estimation!J9*0.000000001)</f>
        <v>-4.8297111440000009</v>
      </c>
      <c r="O6" s="25"/>
      <c r="P6" s="141"/>
      <c r="Q6" s="142" t="s">
        <v>98</v>
      </c>
      <c r="R6" s="143" t="s">
        <v>99</v>
      </c>
      <c r="S6" s="143" t="s">
        <v>100</v>
      </c>
      <c r="T6" s="143" t="s">
        <v>101</v>
      </c>
      <c r="U6" s="143" t="s">
        <v>102</v>
      </c>
      <c r="V6" s="143" t="s">
        <v>103</v>
      </c>
      <c r="W6" s="143" t="s">
        <v>104</v>
      </c>
      <c r="X6" s="143" t="s">
        <v>105</v>
      </c>
      <c r="Y6" s="25"/>
      <c r="Z6" s="25"/>
      <c r="AA6" s="122"/>
      <c r="AB6" s="122"/>
      <c r="AC6" s="122"/>
      <c r="AD6" s="122"/>
    </row>
    <row r="7" spans="2:30" ht="12.75" customHeight="1" x14ac:dyDescent="0.25">
      <c r="B7" s="53" t="s">
        <v>173</v>
      </c>
      <c r="C7" s="67" t="s">
        <v>178</v>
      </c>
      <c r="D7" s="48"/>
      <c r="E7" s="48" t="s">
        <v>32</v>
      </c>
      <c r="F7" s="48" t="s">
        <v>96</v>
      </c>
      <c r="G7" s="55">
        <f>23*H7</f>
        <v>5.2184427113687688</v>
      </c>
      <c r="H7" s="56">
        <f>2*0.25*SIN(6.28*Uncertainties_estimation!J10/(2*200))</f>
        <v>0.22688881353777257</v>
      </c>
      <c r="I7" s="56">
        <f t="shared" si="0"/>
        <v>2</v>
      </c>
      <c r="J7" s="58">
        <v>200</v>
      </c>
      <c r="K7" s="118"/>
      <c r="L7" s="119"/>
      <c r="M7" s="120"/>
      <c r="N7" s="140"/>
      <c r="O7" s="25"/>
      <c r="P7" s="144" t="s">
        <v>109</v>
      </c>
      <c r="Q7" s="144" t="s">
        <v>110</v>
      </c>
      <c r="R7" s="145">
        <v>0.52418799999999999</v>
      </c>
      <c r="S7" s="145">
        <v>-2.9378300000000002E-3</v>
      </c>
      <c r="T7" s="145">
        <v>6.8503600000000003E-6</v>
      </c>
      <c r="U7" s="145">
        <v>-8.4858800000000005E-9</v>
      </c>
      <c r="V7" s="145">
        <v>5.8835499999999999E-12</v>
      </c>
      <c r="W7" s="145">
        <v>-2.1638000000000002E-15</v>
      </c>
      <c r="X7" s="145">
        <v>3.2972499999999999E-19</v>
      </c>
      <c r="Y7" s="25"/>
      <c r="Z7" s="25"/>
      <c r="AA7" s="122"/>
      <c r="AB7" s="122"/>
      <c r="AC7" s="122"/>
      <c r="AD7" s="122"/>
    </row>
    <row r="8" spans="2:30" ht="12.75" customHeight="1" x14ac:dyDescent="0.25">
      <c r="B8" s="53" t="s">
        <v>106</v>
      </c>
      <c r="C8" s="54" t="s">
        <v>107</v>
      </c>
      <c r="D8" s="48" t="s">
        <v>95</v>
      </c>
      <c r="E8" s="48" t="s">
        <v>35</v>
      </c>
      <c r="F8" s="48" t="s">
        <v>92</v>
      </c>
      <c r="G8" s="55">
        <f>IF(Uncertainties_estimation!J9&lt;1075,MAX(0.08, 0.1*(Uncertainties_estimation!J11-2.35*Uncertainties_estimation!J12)),MAX(0.12,0.2*(Uncertainties_estimation!J11-0.56*Uncertainties_estimation!J12)))*23</f>
        <v>10.948</v>
      </c>
      <c r="H8" s="56">
        <f>0.0434*ABS(G8)</f>
        <v>0.47514320000000004</v>
      </c>
      <c r="I8" s="56">
        <f t="shared" si="0"/>
        <v>1.7320508075688772</v>
      </c>
      <c r="J8" s="59">
        <f>IF(Uncertainties_estimation!J8&lt;1075,3.7,4.5)</f>
        <v>3.7</v>
      </c>
      <c r="K8" s="209" t="s">
        <v>108</v>
      </c>
      <c r="L8" s="210"/>
      <c r="M8" s="211"/>
      <c r="N8" s="25"/>
      <c r="O8" s="146"/>
      <c r="P8" s="144" t="s">
        <v>113</v>
      </c>
      <c r="Q8" s="144" t="s">
        <v>114</v>
      </c>
      <c r="R8" s="145">
        <v>-7.5107999999999994E-2</v>
      </c>
      <c r="S8" s="145">
        <v>1.71989E-4</v>
      </c>
      <c r="T8" s="145">
        <v>-1.30954E-7</v>
      </c>
      <c r="U8" s="145">
        <v>3.3188099999999999E-11</v>
      </c>
      <c r="V8" s="144">
        <v>0</v>
      </c>
      <c r="W8" s="144">
        <v>0</v>
      </c>
      <c r="X8" s="144">
        <v>0</v>
      </c>
      <c r="Y8" s="25"/>
      <c r="Z8" s="25"/>
      <c r="AA8" s="122"/>
      <c r="AB8" s="122"/>
      <c r="AC8" s="122"/>
      <c r="AD8" s="122"/>
    </row>
    <row r="9" spans="2:30" ht="12.75" customHeight="1" x14ac:dyDescent="0.25">
      <c r="B9" s="53" t="s">
        <v>111</v>
      </c>
      <c r="C9" s="54" t="s">
        <v>112</v>
      </c>
      <c r="D9" s="48" t="s">
        <v>95</v>
      </c>
      <c r="E9" s="48" t="s">
        <v>35</v>
      </c>
      <c r="F9" s="48" t="s">
        <v>92</v>
      </c>
      <c r="G9" s="60">
        <f>IF(Uncertainties_estimation!J16=1,0.015*23,IF(Uncertainties_estimation!J16=2,0,""))</f>
        <v>0.34499999999999997</v>
      </c>
      <c r="H9" s="56">
        <f t="shared" ref="H9" si="1">0.0434*ABS(G9)</f>
        <v>1.4972999999999998E-2</v>
      </c>
      <c r="I9" s="56">
        <f t="shared" si="0"/>
        <v>1.7320508075688772</v>
      </c>
      <c r="J9" s="57">
        <v>200</v>
      </c>
      <c r="K9" s="209" t="s">
        <v>185</v>
      </c>
      <c r="L9" s="210"/>
      <c r="M9" s="211"/>
      <c r="N9" s="25">
        <f>(3*399200000000000000000*(Uncertainties_estimation!$J$8*0.000000001)^2+2*-1844000000000000*(Uncertainties_estimation!$J$8*0.000000001)+2838000000)*(Uncertainties_estimation!$J$9*0.000000001)</f>
        <v>3712.9502888560005</v>
      </c>
      <c r="O9" s="25" t="s">
        <v>32</v>
      </c>
      <c r="P9" s="144" t="s">
        <v>113</v>
      </c>
      <c r="Q9" s="144" t="s">
        <v>118</v>
      </c>
      <c r="R9" s="145">
        <v>0.13755999999999999</v>
      </c>
      <c r="S9" s="145">
        <v>-3.6239399999999999E-4</v>
      </c>
      <c r="T9" s="145">
        <v>3.5867900000000001E-7</v>
      </c>
      <c r="U9" s="145">
        <v>-1.5798699999999999E-10</v>
      </c>
      <c r="V9" s="145">
        <v>2.6124699999999999E-14</v>
      </c>
      <c r="W9" s="144">
        <v>0</v>
      </c>
      <c r="X9" s="144">
        <v>0</v>
      </c>
      <c r="Y9" s="25"/>
      <c r="Z9" s="25"/>
      <c r="AA9" s="122"/>
      <c r="AB9" s="122"/>
      <c r="AC9" s="122"/>
      <c r="AD9" s="122"/>
    </row>
    <row r="10" spans="2:30" ht="12.75" customHeight="1" x14ac:dyDescent="0.35">
      <c r="B10" s="53" t="s">
        <v>115</v>
      </c>
      <c r="C10" s="54" t="s">
        <v>116</v>
      </c>
      <c r="D10" s="48" t="s">
        <v>95</v>
      </c>
      <c r="E10" s="48" t="s">
        <v>35</v>
      </c>
      <c r="F10" s="48" t="s">
        <v>92</v>
      </c>
      <c r="G10" s="61">
        <f>23*H10</f>
        <v>0.115</v>
      </c>
      <c r="H10" s="49">
        <v>5.0000000000000001E-3</v>
      </c>
      <c r="I10" s="49">
        <f t="shared" si="0"/>
        <v>1.7320508075688772</v>
      </c>
      <c r="J10" s="62">
        <v>9.9999999999999997E+98</v>
      </c>
      <c r="K10" s="200" t="s">
        <v>117</v>
      </c>
      <c r="L10" s="201"/>
      <c r="M10" s="202"/>
      <c r="N10" s="25"/>
      <c r="O10" s="25"/>
      <c r="P10" s="144"/>
      <c r="Q10" s="144"/>
      <c r="R10" s="145"/>
      <c r="S10" s="145"/>
      <c r="T10" s="145"/>
      <c r="U10" s="145"/>
      <c r="V10" s="145"/>
      <c r="W10" s="144"/>
      <c r="X10" s="144"/>
      <c r="Y10" s="25"/>
      <c r="Z10" s="25"/>
      <c r="AA10" s="122"/>
      <c r="AB10" s="122"/>
      <c r="AC10" s="122"/>
      <c r="AD10" s="122"/>
    </row>
    <row r="11" spans="2:30" ht="12.75" customHeight="1" x14ac:dyDescent="0.35">
      <c r="B11" s="53" t="s">
        <v>119</v>
      </c>
      <c r="C11" s="54" t="s">
        <v>120</v>
      </c>
      <c r="D11" s="48" t="s">
        <v>95</v>
      </c>
      <c r="E11" s="48" t="s">
        <v>35</v>
      </c>
      <c r="F11" s="48" t="s">
        <v>92</v>
      </c>
      <c r="G11" s="61">
        <v>0</v>
      </c>
      <c r="H11" s="49">
        <f>0.0434*ABS(G11)</f>
        <v>0</v>
      </c>
      <c r="I11" s="49">
        <f t="shared" si="0"/>
        <v>1.7320508075688772</v>
      </c>
      <c r="J11" s="63">
        <v>200</v>
      </c>
      <c r="K11" s="200" t="s">
        <v>121</v>
      </c>
      <c r="L11" s="201"/>
      <c r="M11" s="202"/>
      <c r="N11" s="25" t="e">
        <f>ABS((10^(((3*399200000000000000000*(Uncertainties_estimation!$J$8*0.000000001)^2+2*-1844000000000000*(Uncertainties_estimation!$J$8*0.000000001)+2838000000)*(Uncertainties_estimation!$J$9*0.000000001))/10)-1)*100)</f>
        <v>#NUM!</v>
      </c>
      <c r="O11" s="25"/>
      <c r="P11" s="25">
        <v>0.5355237751153874</v>
      </c>
      <c r="Q11" s="25"/>
      <c r="R11" s="25"/>
      <c r="S11" s="25"/>
      <c r="T11" s="25"/>
      <c r="U11" s="25"/>
      <c r="V11" s="25"/>
      <c r="W11" s="25"/>
      <c r="X11" s="25"/>
      <c r="Y11" s="25"/>
      <c r="Z11" s="25"/>
      <c r="AA11" s="122"/>
      <c r="AB11" s="122"/>
      <c r="AC11" s="122"/>
      <c r="AD11" s="122"/>
    </row>
    <row r="12" spans="2:30" ht="12.75" customHeight="1" x14ac:dyDescent="0.35">
      <c r="B12" s="53" t="s">
        <v>122</v>
      </c>
      <c r="C12" s="54" t="s">
        <v>123</v>
      </c>
      <c r="D12" s="48" t="s">
        <v>95</v>
      </c>
      <c r="E12" s="48" t="s">
        <v>35</v>
      </c>
      <c r="F12" s="48" t="s">
        <v>92</v>
      </c>
      <c r="G12" s="61">
        <f>IF(INDEX(Setup_tables!C33:O33,1,MATCH(Uncertainties_estimation!J$7,Setup_tables!C31:O31,0))=1,0.01*23,0.005*23)</f>
        <v>0.115</v>
      </c>
      <c r="H12" s="49">
        <f>0.0434*ABS(G12)</f>
        <v>4.9910000000000006E-3</v>
      </c>
      <c r="I12" s="49">
        <f t="shared" si="0"/>
        <v>1.7320508075688772</v>
      </c>
      <c r="J12" s="63">
        <v>200</v>
      </c>
      <c r="K12" s="200" t="s">
        <v>124</v>
      </c>
      <c r="L12" s="201"/>
      <c r="M12" s="202"/>
      <c r="N12" s="122"/>
      <c r="O12" s="122"/>
      <c r="P12" s="122"/>
      <c r="Q12" s="122"/>
      <c r="R12" s="122"/>
      <c r="S12" s="122"/>
      <c r="T12" s="122"/>
      <c r="U12" s="122"/>
      <c r="V12" s="122"/>
      <c r="W12" s="122"/>
      <c r="X12" s="122"/>
      <c r="Y12" s="122"/>
      <c r="Z12" s="122"/>
      <c r="AA12" s="122"/>
      <c r="AB12" s="122"/>
      <c r="AC12" s="122"/>
      <c r="AD12" s="122"/>
    </row>
    <row r="13" spans="2:30" ht="12.75" customHeight="1" x14ac:dyDescent="0.35">
      <c r="B13" s="53" t="s">
        <v>125</v>
      </c>
      <c r="C13" s="54" t="s">
        <v>126</v>
      </c>
      <c r="D13" s="48" t="s">
        <v>95</v>
      </c>
      <c r="E13" s="48" t="s">
        <v>35</v>
      </c>
      <c r="F13" s="48" t="s">
        <v>92</v>
      </c>
      <c r="G13" s="61">
        <f>0.00000001/((Uncertainties_estimation!J13-Uncertainties_estimation!J10)*0.23)</f>
        <v>-2.1739130434782609E-9</v>
      </c>
      <c r="H13" s="49">
        <f t="shared" ref="H13:H15" si="2">0.0434*ABS(G13)</f>
        <v>9.4347826086956523E-11</v>
      </c>
      <c r="I13" s="49">
        <f t="shared" si="0"/>
        <v>1.7320508075688772</v>
      </c>
      <c r="J13" s="63">
        <v>20000</v>
      </c>
      <c r="K13" s="200" t="s">
        <v>127</v>
      </c>
      <c r="L13" s="201"/>
      <c r="M13" s="202"/>
      <c r="N13" s="122"/>
      <c r="O13" s="122"/>
      <c r="P13" s="122"/>
      <c r="Q13" s="122"/>
      <c r="R13" s="122"/>
      <c r="S13" s="122"/>
      <c r="T13" s="122"/>
      <c r="U13" s="122"/>
      <c r="V13" s="122"/>
      <c r="W13" s="122"/>
      <c r="X13" s="122"/>
      <c r="Y13" s="122"/>
      <c r="Z13" s="122"/>
      <c r="AA13" s="122"/>
      <c r="AB13" s="122"/>
      <c r="AC13" s="122"/>
      <c r="AD13" s="122"/>
    </row>
    <row r="14" spans="2:30" ht="12.75" customHeight="1" x14ac:dyDescent="0.25">
      <c r="B14" s="53" t="s">
        <v>128</v>
      </c>
      <c r="C14" s="54" t="s">
        <v>129</v>
      </c>
      <c r="D14" s="64" t="s">
        <v>95</v>
      </c>
      <c r="E14" s="64" t="s">
        <v>35</v>
      </c>
      <c r="F14" s="64" t="s">
        <v>96</v>
      </c>
      <c r="G14" s="65">
        <v>0.1</v>
      </c>
      <c r="H14" s="49">
        <f t="shared" si="2"/>
        <v>4.3400000000000001E-3</v>
      </c>
      <c r="I14" s="66">
        <f t="shared" si="0"/>
        <v>2</v>
      </c>
      <c r="J14" s="63">
        <v>200</v>
      </c>
      <c r="K14" s="206">
        <v>1E-3</v>
      </c>
      <c r="L14" s="207"/>
      <c r="M14" s="208"/>
      <c r="N14" s="122"/>
      <c r="O14" s="122"/>
      <c r="P14" s="122"/>
      <c r="Q14" s="122"/>
      <c r="R14" s="122"/>
      <c r="S14" s="122"/>
      <c r="T14" s="122"/>
      <c r="U14" s="122"/>
      <c r="V14" s="122"/>
      <c r="W14" s="122"/>
      <c r="X14" s="122"/>
      <c r="Y14" s="122"/>
      <c r="Z14" s="122"/>
      <c r="AA14" s="122"/>
      <c r="AB14" s="122"/>
      <c r="AC14" s="122"/>
      <c r="AD14" s="122"/>
    </row>
    <row r="15" spans="2:30" ht="12.75" customHeight="1" x14ac:dyDescent="0.25">
      <c r="B15" s="53" t="s">
        <v>130</v>
      </c>
      <c r="C15" s="67" t="s">
        <v>131</v>
      </c>
      <c r="D15" s="64" t="s">
        <v>95</v>
      </c>
      <c r="E15" s="64" t="s">
        <v>35</v>
      </c>
      <c r="F15" s="64" t="s">
        <v>96</v>
      </c>
      <c r="G15" s="65">
        <f>IF(Uncertainties_estimation!J16=2,0.2*23,IF(Uncertainties_estimation!J16=1,0,""))</f>
        <v>0</v>
      </c>
      <c r="H15" s="49">
        <f t="shared" si="2"/>
        <v>0</v>
      </c>
      <c r="I15" s="66">
        <v>2</v>
      </c>
      <c r="J15" s="63">
        <v>200</v>
      </c>
      <c r="K15" s="200" t="s">
        <v>186</v>
      </c>
      <c r="L15" s="201"/>
      <c r="M15" s="202"/>
      <c r="N15" s="122"/>
      <c r="O15" s="122"/>
      <c r="P15" s="122"/>
      <c r="Q15" s="122"/>
      <c r="R15" s="122"/>
      <c r="S15" s="122"/>
      <c r="T15" s="122"/>
      <c r="U15" s="122"/>
      <c r="V15" s="122"/>
      <c r="W15" s="122"/>
      <c r="X15" s="122"/>
      <c r="Y15" s="122"/>
      <c r="Z15" s="122"/>
      <c r="AA15" s="122"/>
      <c r="AB15" s="122"/>
      <c r="AC15" s="122"/>
      <c r="AD15" s="122"/>
    </row>
    <row r="16" spans="2:30" ht="12.75" customHeight="1" x14ac:dyDescent="0.25">
      <c r="B16" s="53" t="s">
        <v>181</v>
      </c>
      <c r="C16" s="67" t="s">
        <v>179</v>
      </c>
      <c r="D16" s="48" t="s">
        <v>95</v>
      </c>
      <c r="E16" s="48" t="s">
        <v>35</v>
      </c>
      <c r="F16" s="48" t="s">
        <v>96</v>
      </c>
      <c r="G16" s="65">
        <f>ABS(100000*Uncertainties_estimation!J12*Uncertainties_estimation!J10*IF(Uncertainties_estimation!J5&lt;&gt;"LSPM-MM",IF(Uncertainties_estimation!J9&lt;1385,S8+2*T8*Uncertainties_estimation!J9+3*U8*Uncertainties_estimation!J9^2+4*V8*Uncertainties_estimation!J9^3+5*W8*Uncertainties_estimation!J9^4+6*X8*Uncertainties_estimation!J9^5,S9+2*T9*Uncertainties_estimation!J9+3*U9*Uncertainties_estimation!J9^2+4*V9*Uncertainties_estimation!J9^3+5*W9*Uncertainties_estimation!J9^4+6*X9*Uncertainties_estimation!J9^5),(S7+2*T7*Uncertainties_estimation!J9+3*U7*Uncertainties_estimation!J9^2+4*V7*Uncertainties_estimation!J9^3+5*W7*Uncertainties_estimation!J9^4+6*X7*Uncertainties_estimation!J9^5)))</f>
        <v>1.4891086200001731</v>
      </c>
      <c r="H16" s="56">
        <f>0.0434*ABS(G16)</f>
        <v>6.4627314108007511E-2</v>
      </c>
      <c r="I16" s="130">
        <f>IF(F16="Rectangular (1)", SQRT(3),IF(F16="Rectangular (2)",2*SQRT(3),IF(F16="Normal (2)",2,IF(F16="Normal (3)",3,1))))</f>
        <v>2</v>
      </c>
      <c r="J16" s="63">
        <v>200</v>
      </c>
      <c r="K16" s="103"/>
      <c r="L16" s="104"/>
      <c r="M16" s="105"/>
      <c r="N16" s="122"/>
      <c r="O16" s="122"/>
      <c r="P16" s="122"/>
      <c r="Q16" s="122"/>
      <c r="R16" s="122"/>
      <c r="S16" s="122"/>
      <c r="T16" s="122"/>
      <c r="U16" s="122"/>
      <c r="V16" s="122"/>
      <c r="W16" s="122"/>
      <c r="X16" s="122"/>
      <c r="Y16" s="122"/>
      <c r="Z16" s="122"/>
      <c r="AA16" s="122"/>
      <c r="AB16" s="122"/>
      <c r="AC16" s="122"/>
      <c r="AD16" s="122"/>
    </row>
    <row r="17" spans="2:30" ht="12.75" customHeight="1" x14ac:dyDescent="0.25">
      <c r="B17" s="53" t="s">
        <v>182</v>
      </c>
      <c r="C17" s="67" t="s">
        <v>180</v>
      </c>
      <c r="D17" s="48" t="s">
        <v>95</v>
      </c>
      <c r="E17" s="48" t="s">
        <v>32</v>
      </c>
      <c r="F17" s="48" t="s">
        <v>96</v>
      </c>
      <c r="G17" s="55">
        <f>23*H17</f>
        <v>5.2184427113687688</v>
      </c>
      <c r="H17" s="49">
        <f>2*0.25*SIN(6.28*Uncertainties_estimation!J10/(2*200))</f>
        <v>0.22688881353777257</v>
      </c>
      <c r="I17" s="130">
        <f t="shared" ref="I17:I22" si="3">IF(F17="Rectangular (1)", SQRT(3),IF(F17="Rectangular (2)",2*SQRT(3),IF(F17="Normal (2)",2,IF(F17="Normal (3)",3,1))))</f>
        <v>2</v>
      </c>
      <c r="J17" s="63">
        <v>200</v>
      </c>
      <c r="K17" s="103"/>
      <c r="L17" s="104"/>
      <c r="M17" s="105"/>
      <c r="N17" s="122"/>
      <c r="O17" s="122"/>
      <c r="P17" s="122"/>
      <c r="Q17" s="122"/>
      <c r="R17" s="122"/>
      <c r="S17" s="122"/>
      <c r="T17" s="122"/>
      <c r="U17" s="122"/>
      <c r="V17" s="122"/>
      <c r="W17" s="122"/>
      <c r="X17" s="122"/>
      <c r="Y17" s="122"/>
      <c r="Z17" s="122"/>
      <c r="AA17" s="122"/>
      <c r="AB17" s="122"/>
      <c r="AC17" s="122"/>
      <c r="AD17" s="122"/>
    </row>
    <row r="18" spans="2:30" ht="12.75" customHeight="1" x14ac:dyDescent="0.25">
      <c r="B18" s="53" t="s">
        <v>175</v>
      </c>
      <c r="C18" s="67" t="s">
        <v>159</v>
      </c>
      <c r="D18" s="48" t="s">
        <v>95</v>
      </c>
      <c r="E18" s="48" t="s">
        <v>32</v>
      </c>
      <c r="F18" s="48" t="s">
        <v>92</v>
      </c>
      <c r="G18" s="55">
        <f t="shared" ref="G18" si="4">23*H18</f>
        <v>1.1500000000000001</v>
      </c>
      <c r="H18" s="56">
        <v>0.05</v>
      </c>
      <c r="I18" s="56">
        <f t="shared" si="3"/>
        <v>1.7320508075688772</v>
      </c>
      <c r="J18" s="48">
        <v>200</v>
      </c>
      <c r="K18" s="103"/>
      <c r="L18" s="104"/>
      <c r="M18" s="105"/>
      <c r="N18" s="122"/>
      <c r="O18" s="122"/>
      <c r="P18" s="122"/>
      <c r="Q18" s="122"/>
      <c r="R18" s="122"/>
      <c r="S18" s="122"/>
      <c r="T18" s="122"/>
      <c r="U18" s="122"/>
      <c r="V18" s="122"/>
      <c r="W18" s="122"/>
      <c r="X18" s="122"/>
      <c r="Y18" s="122"/>
      <c r="Z18" s="122"/>
      <c r="AA18" s="122"/>
      <c r="AB18" s="122"/>
      <c r="AC18" s="122"/>
      <c r="AD18" s="122"/>
    </row>
    <row r="19" spans="2:30" ht="12.75" customHeight="1" x14ac:dyDescent="0.25">
      <c r="B19" s="53" t="s">
        <v>176</v>
      </c>
      <c r="C19" s="67" t="s">
        <v>160</v>
      </c>
      <c r="D19" s="48" t="s">
        <v>95</v>
      </c>
      <c r="E19" s="48" t="s">
        <v>32</v>
      </c>
      <c r="F19" s="48" t="s">
        <v>92</v>
      </c>
      <c r="G19" s="55">
        <f t="shared" ref="G19:G21" si="5">23*H19</f>
        <v>2.3E-2</v>
      </c>
      <c r="H19" s="56">
        <v>1E-3</v>
      </c>
      <c r="I19" s="56">
        <f t="shared" si="3"/>
        <v>1.7320508075688772</v>
      </c>
      <c r="J19" s="48">
        <v>9.9999999999999997E+98</v>
      </c>
      <c r="K19" s="203" t="s">
        <v>174</v>
      </c>
      <c r="L19" s="204"/>
      <c r="M19" s="205"/>
      <c r="N19" s="122"/>
      <c r="O19" s="122"/>
      <c r="P19" s="122"/>
      <c r="Q19" s="122"/>
      <c r="R19" s="122"/>
      <c r="S19" s="122"/>
      <c r="T19" s="122"/>
      <c r="U19" s="122"/>
      <c r="V19" s="122"/>
      <c r="W19" s="122"/>
      <c r="X19" s="122"/>
      <c r="Y19" s="122"/>
      <c r="Z19" s="122"/>
      <c r="AA19" s="122"/>
      <c r="AB19" s="122"/>
      <c r="AC19" s="122"/>
      <c r="AD19" s="122"/>
    </row>
    <row r="20" spans="2:30" ht="12.75" customHeight="1" x14ac:dyDescent="0.25">
      <c r="B20" s="53" t="s">
        <v>199</v>
      </c>
      <c r="C20" s="67" t="s">
        <v>161</v>
      </c>
      <c r="D20" s="48" t="s">
        <v>162</v>
      </c>
      <c r="E20" s="48" t="s">
        <v>35</v>
      </c>
      <c r="F20" s="48" t="s">
        <v>96</v>
      </c>
      <c r="G20" s="55">
        <f t="shared" si="5"/>
        <v>9.7447385381690246E-2</v>
      </c>
      <c r="H20" s="49">
        <f>(LOG10(1+10^((-1)*Uncertainties_estimation!J13/5))-LOG10(1-10^((-1)*Uncertainties_estimation!J13/5)))*(5/2.05)*SQRT((1/Uncertainties_estimation!N15 )+(Uncertainties_estimation!N15^2)/(4*(Uncertainties_estimation!N15^3/12+Uncertainties_estimation!N15/6)))</f>
        <v>4.2368428426821847E-3</v>
      </c>
      <c r="I20" s="130">
        <f t="shared" si="3"/>
        <v>2</v>
      </c>
      <c r="J20" s="63">
        <f>(Uncertainties_estimation!N$15-2)</f>
        <v>98</v>
      </c>
      <c r="K20" s="103"/>
      <c r="L20" s="104"/>
      <c r="M20" s="105"/>
      <c r="N20" s="122"/>
      <c r="O20" s="122"/>
      <c r="P20" s="122"/>
      <c r="Q20" s="122"/>
      <c r="R20" s="122"/>
      <c r="S20" s="122"/>
      <c r="T20" s="122"/>
      <c r="U20" s="122"/>
      <c r="V20" s="122"/>
      <c r="W20" s="122"/>
      <c r="X20" s="122"/>
      <c r="Y20" s="122"/>
      <c r="Z20" s="122"/>
      <c r="AA20" s="122"/>
      <c r="AB20" s="122"/>
      <c r="AC20" s="122"/>
      <c r="AD20" s="122"/>
    </row>
    <row r="21" spans="2:30" ht="12.75" customHeight="1" x14ac:dyDescent="0.25">
      <c r="B21" s="53" t="s">
        <v>200</v>
      </c>
      <c r="C21" s="67" t="s">
        <v>163</v>
      </c>
      <c r="D21" s="48" t="s">
        <v>162</v>
      </c>
      <c r="E21" s="48" t="s">
        <v>35</v>
      </c>
      <c r="F21" s="48" t="s">
        <v>96</v>
      </c>
      <c r="G21" s="55">
        <f t="shared" si="5"/>
        <v>1.944268724776814E-2</v>
      </c>
      <c r="H21" s="49">
        <f>(LOG10(1+10^((-1)*(Uncertainties_estimation!J13+Uncertainties_estimation!J11)/5))-LOG10(1-10^((-1)*(Uncertainties_estimation!J13+Uncertainties_estimation!J11)/5)))*(5/2.05)*SQRT((1/Uncertainties_estimation!N15 )+(Uncertainties_estimation!N15^2)/(4*(Uncertainties_estimation!N15^3/12+Uncertainties_estimation!N15/6)))</f>
        <v>8.4533422816383211E-4</v>
      </c>
      <c r="I21" s="130">
        <f t="shared" si="3"/>
        <v>2</v>
      </c>
      <c r="J21" s="63">
        <f>(Uncertainties_estimation!N$15-2)</f>
        <v>98</v>
      </c>
      <c r="K21" s="103"/>
      <c r="L21" s="104"/>
      <c r="M21" s="105"/>
      <c r="N21" s="122"/>
      <c r="O21" s="122"/>
      <c r="P21" s="122"/>
      <c r="Q21" s="122"/>
      <c r="R21" s="122"/>
      <c r="S21" s="122"/>
      <c r="T21" s="122"/>
      <c r="U21" s="122"/>
      <c r="V21" s="122"/>
      <c r="W21" s="122"/>
      <c r="X21" s="122"/>
      <c r="Y21" s="122"/>
      <c r="Z21" s="122"/>
      <c r="AA21" s="122"/>
      <c r="AB21" s="122"/>
      <c r="AC21" s="122"/>
      <c r="AD21" s="122"/>
    </row>
    <row r="22" spans="2:30" ht="12.75" customHeight="1" x14ac:dyDescent="0.25">
      <c r="B22" s="53" t="s">
        <v>177</v>
      </c>
      <c r="C22" s="67" t="s">
        <v>164</v>
      </c>
      <c r="D22" s="48" t="s">
        <v>162</v>
      </c>
      <c r="E22" s="48" t="s">
        <v>35</v>
      </c>
      <c r="F22" s="48" t="s">
        <v>92</v>
      </c>
      <c r="G22" s="65">
        <f>23*H22</f>
        <v>0.77160377969224592</v>
      </c>
      <c r="H22" s="49">
        <f>0.0434*ABS(1000*Uncertainties_estimation!J15*10*IF(Uncertainties_estimation!J9&lt;1385,R8+S8*Uncertainties_estimation!J9+T8*Uncertainties_estimation!J9^2+U8*Uncertainties_estimation!J9^3+V8*Uncertainties_estimation!J9^4+W8*Uncertainties_estimation!J9^5,R9+S9*Uncertainties_estimation!J9+T9*Uncertainties_estimation!J9^2+U9*Uncertainties_estimation!J9^3+V9*Uncertainties_estimation!J9^4+W9*Uncertainties_estimation!J9^5))</f>
        <v>3.3547990421401996E-2</v>
      </c>
      <c r="I22" s="130">
        <f t="shared" si="3"/>
        <v>1.7320508075688772</v>
      </c>
      <c r="J22" s="63">
        <v>200</v>
      </c>
      <c r="K22" s="103"/>
      <c r="L22" s="104"/>
      <c r="M22" s="105"/>
      <c r="N22" s="122"/>
      <c r="O22" s="122"/>
      <c r="P22" s="122"/>
      <c r="Q22" s="122"/>
      <c r="R22" s="122"/>
      <c r="S22" s="122"/>
      <c r="T22" s="122"/>
      <c r="U22" s="122"/>
      <c r="V22" s="122"/>
      <c r="W22" s="122"/>
      <c r="X22" s="122"/>
      <c r="Y22" s="122"/>
      <c r="Z22" s="122"/>
      <c r="AA22" s="122"/>
      <c r="AB22" s="122"/>
      <c r="AC22" s="122"/>
      <c r="AD22" s="122"/>
    </row>
    <row r="23" spans="2:30" ht="12.75" customHeight="1" x14ac:dyDescent="0.35">
      <c r="B23" s="53" t="s">
        <v>132</v>
      </c>
      <c r="C23" s="67" t="s">
        <v>47</v>
      </c>
      <c r="D23" s="64" t="s">
        <v>95</v>
      </c>
      <c r="E23" s="64" t="s">
        <v>35</v>
      </c>
      <c r="F23" s="64" t="s">
        <v>96</v>
      </c>
      <c r="G23" s="61">
        <f t="shared" ref="G23:G24" si="6">23*H23</f>
        <v>4.6000000000000005</v>
      </c>
      <c r="H23" s="49">
        <f>INDEX(Setup_tables!C34:O35,1,MATCH(Uncertainties_estimation!J$7,Setup_tables!C31:O31,0))</f>
        <v>0.2</v>
      </c>
      <c r="I23" s="66">
        <f t="shared" si="0"/>
        <v>2</v>
      </c>
      <c r="J23" s="63">
        <v>5000</v>
      </c>
      <c r="K23" s="200" t="s">
        <v>273</v>
      </c>
      <c r="L23" s="201"/>
      <c r="M23" s="202"/>
      <c r="N23" s="122" t="s">
        <v>133</v>
      </c>
      <c r="O23" s="122"/>
      <c r="P23" s="122"/>
      <c r="Q23" s="122"/>
      <c r="R23" s="122"/>
      <c r="S23" s="122"/>
      <c r="T23" s="122"/>
      <c r="U23" s="122"/>
      <c r="V23" s="122"/>
      <c r="W23" s="122"/>
      <c r="X23" s="122"/>
      <c r="Y23" s="122"/>
      <c r="Z23" s="122"/>
      <c r="AA23" s="122"/>
      <c r="AB23" s="122"/>
      <c r="AC23" s="122"/>
      <c r="AD23" s="122"/>
    </row>
    <row r="24" spans="2:30" ht="12.75" customHeight="1" x14ac:dyDescent="0.35">
      <c r="B24" s="53" t="s">
        <v>134</v>
      </c>
      <c r="C24" s="68" t="s">
        <v>135</v>
      </c>
      <c r="D24" s="48" t="s">
        <v>95</v>
      </c>
      <c r="E24" s="48" t="s">
        <v>35</v>
      </c>
      <c r="F24" s="64" t="s">
        <v>96</v>
      </c>
      <c r="G24" s="61">
        <f t="shared" si="6"/>
        <v>1.1500000000000001</v>
      </c>
      <c r="H24" s="49">
        <f>INDEX(Setup_tables!C34:O35,2,MATCH(Uncertainties_estimation!J$7,Setup_tables!C31:O31,0))</f>
        <v>0.05</v>
      </c>
      <c r="I24" s="49">
        <f t="shared" si="0"/>
        <v>2</v>
      </c>
      <c r="J24" s="63">
        <v>5000</v>
      </c>
      <c r="K24" s="200" t="s">
        <v>273</v>
      </c>
      <c r="L24" s="201"/>
      <c r="M24" s="202"/>
      <c r="N24" s="122"/>
      <c r="O24" s="122"/>
      <c r="P24" s="122"/>
      <c r="Q24" s="122"/>
      <c r="R24" s="122"/>
      <c r="S24" s="122"/>
      <c r="T24" s="122"/>
      <c r="U24" s="122"/>
      <c r="V24" s="122"/>
      <c r="W24" s="122"/>
      <c r="X24" s="122"/>
      <c r="Y24" s="122"/>
      <c r="Z24" s="122"/>
      <c r="AA24" s="122"/>
      <c r="AB24" s="122"/>
      <c r="AC24" s="122"/>
      <c r="AD24" s="122"/>
    </row>
    <row r="25" spans="2:30" ht="12.75" customHeight="1" x14ac:dyDescent="0.35">
      <c r="B25" s="53" t="s">
        <v>136</v>
      </c>
      <c r="C25" s="69" t="s">
        <v>137</v>
      </c>
      <c r="D25" s="64" t="s">
        <v>95</v>
      </c>
      <c r="E25" s="64" t="s">
        <v>35</v>
      </c>
      <c r="F25" s="64" t="s">
        <v>92</v>
      </c>
      <c r="G25" s="61">
        <f>IF(INDEX(Setup_tables!C33:O33,1,MATCH(Uncertainties_estimation!J$7,Setup_tables!C31:O31,0))=1,0.018*23,0)</f>
        <v>0</v>
      </c>
      <c r="H25" s="49">
        <f>0.0434*ABS(G25)</f>
        <v>0</v>
      </c>
      <c r="I25" s="66">
        <f t="shared" si="0"/>
        <v>1.7320508075688772</v>
      </c>
      <c r="J25" s="63">
        <v>200</v>
      </c>
      <c r="K25" s="200" t="s">
        <v>138</v>
      </c>
      <c r="L25" s="201"/>
      <c r="M25" s="202"/>
      <c r="N25" s="25"/>
      <c r="O25" s="25"/>
      <c r="P25" s="25"/>
      <c r="Q25" s="25"/>
      <c r="R25" s="25"/>
      <c r="S25" s="25"/>
      <c r="T25" s="25"/>
      <c r="U25" s="25"/>
      <c r="V25" s="25"/>
      <c r="W25" s="25"/>
      <c r="X25" s="25"/>
      <c r="Y25" s="25"/>
      <c r="Z25" s="25"/>
      <c r="AA25" s="25"/>
      <c r="AB25" s="25"/>
      <c r="AC25" s="25"/>
      <c r="AD25" s="25"/>
    </row>
    <row r="26" spans="2:30" ht="12.75" customHeight="1" x14ac:dyDescent="0.25">
      <c r="B26" s="53" t="s">
        <v>194</v>
      </c>
      <c r="C26" s="69" t="s">
        <v>167</v>
      </c>
      <c r="D26" s="48" t="s">
        <v>95</v>
      </c>
      <c r="E26" s="48" t="s">
        <v>32</v>
      </c>
      <c r="F26" s="48" t="s">
        <v>96</v>
      </c>
      <c r="G26" s="55">
        <f t="shared" ref="G26:G27" si="7">23*H26</f>
        <v>7.36</v>
      </c>
      <c r="H26" s="56">
        <v>0.32</v>
      </c>
      <c r="I26" s="56">
        <f t="shared" si="0"/>
        <v>2</v>
      </c>
      <c r="J26" s="48">
        <v>5000</v>
      </c>
      <c r="K26" s="103"/>
      <c r="L26" s="104"/>
      <c r="M26" s="105"/>
      <c r="N26" s="25"/>
      <c r="O26" s="25"/>
      <c r="P26" s="25"/>
      <c r="Q26" s="25"/>
      <c r="R26" s="25"/>
      <c r="S26" s="25"/>
      <c r="T26" s="25"/>
      <c r="U26" s="25"/>
      <c r="V26" s="25"/>
      <c r="W26" s="25"/>
      <c r="X26" s="25"/>
      <c r="Y26" s="25"/>
      <c r="Z26" s="25"/>
      <c r="AA26" s="25"/>
      <c r="AB26" s="25"/>
      <c r="AC26" s="25"/>
      <c r="AD26" s="25"/>
    </row>
    <row r="27" spans="2:30" ht="12.75" customHeight="1" x14ac:dyDescent="0.25">
      <c r="B27" s="53" t="s">
        <v>195</v>
      </c>
      <c r="C27" s="68" t="s">
        <v>166</v>
      </c>
      <c r="D27" s="48" t="s">
        <v>95</v>
      </c>
      <c r="E27" s="48" t="s">
        <v>32</v>
      </c>
      <c r="F27" s="48" t="s">
        <v>92</v>
      </c>
      <c r="G27" s="55">
        <f t="shared" si="7"/>
        <v>2.3000000000000003</v>
      </c>
      <c r="H27" s="56">
        <v>0.1</v>
      </c>
      <c r="I27" s="56">
        <f t="shared" si="0"/>
        <v>1.7320508075688772</v>
      </c>
      <c r="J27" s="48">
        <v>5000</v>
      </c>
      <c r="K27" s="103"/>
      <c r="L27" s="104"/>
      <c r="M27" s="105"/>
      <c r="N27" s="25"/>
      <c r="O27" s="25"/>
      <c r="P27" s="25"/>
      <c r="Q27" s="25"/>
      <c r="R27" s="25"/>
      <c r="S27" s="25"/>
      <c r="T27" s="25"/>
      <c r="U27" s="25"/>
      <c r="V27" s="25"/>
      <c r="W27" s="25"/>
      <c r="X27" s="25"/>
      <c r="Y27" s="25"/>
      <c r="Z27" s="25"/>
      <c r="AA27" s="25"/>
      <c r="AB27" s="25"/>
      <c r="AC27" s="25"/>
      <c r="AD27" s="25"/>
    </row>
    <row r="28" spans="2:30" ht="12.75" customHeight="1" x14ac:dyDescent="0.35">
      <c r="B28" s="70" t="s">
        <v>139</v>
      </c>
      <c r="C28" s="68" t="s">
        <v>47</v>
      </c>
      <c r="D28" s="64" t="s">
        <v>95</v>
      </c>
      <c r="E28" s="64" t="s">
        <v>35</v>
      </c>
      <c r="F28" s="64" t="s">
        <v>96</v>
      </c>
      <c r="G28" s="61">
        <f t="shared" ref="G28" si="8">23*H28</f>
        <v>4.6000000000000005</v>
      </c>
      <c r="H28" s="49">
        <f>INDEX(Setup_tables!C34:O35,1,MATCH(Uncertainties_estimation!J$7,Setup_tables!C31:O31,0))</f>
        <v>0.2</v>
      </c>
      <c r="I28" s="66">
        <f t="shared" si="0"/>
        <v>2</v>
      </c>
      <c r="J28" s="63">
        <v>5000</v>
      </c>
      <c r="K28" s="200" t="s">
        <v>273</v>
      </c>
      <c r="L28" s="201"/>
      <c r="M28" s="202"/>
      <c r="N28" s="25"/>
      <c r="O28" s="25"/>
      <c r="P28" s="25"/>
      <c r="Q28" s="25"/>
      <c r="R28" s="25"/>
      <c r="S28" s="25"/>
      <c r="T28" s="25"/>
      <c r="U28" s="25"/>
      <c r="V28" s="25"/>
      <c r="W28" s="25"/>
      <c r="X28" s="25"/>
      <c r="Y28" s="25"/>
      <c r="Z28" s="25"/>
      <c r="AA28" s="25"/>
      <c r="AB28" s="25"/>
      <c r="AC28" s="25"/>
      <c r="AD28" s="25"/>
    </row>
    <row r="29" spans="2:30" ht="12.75" customHeight="1" x14ac:dyDescent="0.35">
      <c r="B29" s="70" t="s">
        <v>140</v>
      </c>
      <c r="C29" s="69" t="s">
        <v>48</v>
      </c>
      <c r="D29" s="64" t="s">
        <v>95</v>
      </c>
      <c r="E29" s="64" t="s">
        <v>35</v>
      </c>
      <c r="F29" s="64" t="s">
        <v>96</v>
      </c>
      <c r="G29" s="61">
        <f>23*H29</f>
        <v>1.1500000000000001</v>
      </c>
      <c r="H29" s="49">
        <f>INDEX(Setup_tables!C34:O35,2,MATCH(Uncertainties_estimation!J$7,Setup_tables!C31:O31,0))</f>
        <v>0.05</v>
      </c>
      <c r="I29" s="66">
        <f t="shared" si="0"/>
        <v>2</v>
      </c>
      <c r="J29" s="63">
        <v>5000</v>
      </c>
      <c r="K29" s="200" t="s">
        <v>273</v>
      </c>
      <c r="L29" s="201"/>
      <c r="M29" s="202"/>
      <c r="N29" s="25"/>
      <c r="O29" s="25"/>
      <c r="P29" s="25"/>
      <c r="Q29" s="25"/>
      <c r="R29" s="25"/>
      <c r="S29" s="25"/>
      <c r="T29" s="25"/>
      <c r="U29" s="25"/>
      <c r="V29" s="25"/>
      <c r="W29" s="25"/>
      <c r="X29" s="25"/>
      <c r="Y29" s="25"/>
      <c r="Z29" s="25"/>
      <c r="AA29" s="25"/>
      <c r="AB29" s="25"/>
      <c r="AC29" s="25"/>
      <c r="AD29" s="25"/>
    </row>
    <row r="30" spans="2:30" ht="12.75" customHeight="1" x14ac:dyDescent="0.35">
      <c r="B30" s="70" t="s">
        <v>141</v>
      </c>
      <c r="C30" s="69" t="s">
        <v>142</v>
      </c>
      <c r="D30" s="48" t="s">
        <v>95</v>
      </c>
      <c r="E30" s="48" t="s">
        <v>35</v>
      </c>
      <c r="F30" s="48" t="s">
        <v>92</v>
      </c>
      <c r="G30" s="61">
        <f>IF(INDEX(Setup_tables!C33:O33,1,MATCH(Uncertainties_estimation!J$7,Setup_tables!C31:O31,0))=1,0.018*23,0)</f>
        <v>0</v>
      </c>
      <c r="H30" s="49">
        <f>0.0434*ABS(G30)</f>
        <v>0</v>
      </c>
      <c r="I30" s="49">
        <f t="shared" si="0"/>
        <v>1.7320508075688772</v>
      </c>
      <c r="J30" s="63">
        <v>200</v>
      </c>
      <c r="K30" s="200" t="s">
        <v>138</v>
      </c>
      <c r="L30" s="201"/>
      <c r="M30" s="202"/>
      <c r="N30" s="25"/>
      <c r="O30" s="25"/>
      <c r="P30" s="25"/>
      <c r="Q30" s="25"/>
      <c r="R30" s="25"/>
      <c r="S30" s="25"/>
      <c r="T30" s="25"/>
      <c r="U30" s="25"/>
      <c r="V30" s="25"/>
      <c r="W30" s="25"/>
      <c r="X30" s="25"/>
      <c r="Y30" s="25"/>
      <c r="Z30" s="25"/>
      <c r="AA30" s="25"/>
      <c r="AB30" s="25"/>
      <c r="AC30" s="25"/>
      <c r="AD30" s="25"/>
    </row>
    <row r="31" spans="2:30" ht="12.75" customHeight="1" thickBot="1" x14ac:dyDescent="0.3">
      <c r="B31" s="70" t="s">
        <v>196</v>
      </c>
      <c r="C31" s="133" t="s">
        <v>169</v>
      </c>
      <c r="D31" s="48" t="s">
        <v>95</v>
      </c>
      <c r="E31" s="48" t="s">
        <v>32</v>
      </c>
      <c r="F31" s="48" t="s">
        <v>96</v>
      </c>
      <c r="G31" s="55">
        <f t="shared" ref="G31" si="9">23*H31</f>
        <v>6.8999999999999995</v>
      </c>
      <c r="H31" s="49">
        <v>0.3</v>
      </c>
      <c r="I31" s="56">
        <f t="shared" si="0"/>
        <v>2</v>
      </c>
      <c r="J31" s="48">
        <v>200</v>
      </c>
      <c r="K31" s="200"/>
      <c r="L31" s="201"/>
      <c r="M31" s="202"/>
      <c r="N31" s="25"/>
      <c r="O31" s="25"/>
      <c r="P31" s="25"/>
      <c r="Q31" s="25"/>
      <c r="R31" s="25"/>
      <c r="S31" s="25"/>
      <c r="T31" s="25"/>
      <c r="U31" s="25"/>
      <c r="V31" s="25"/>
      <c r="W31" s="25"/>
      <c r="X31" s="25"/>
      <c r="Y31" s="25"/>
      <c r="Z31" s="25"/>
      <c r="AA31" s="25"/>
      <c r="AB31" s="25"/>
      <c r="AC31" s="25"/>
      <c r="AD31" s="25"/>
    </row>
    <row r="32" spans="2:30" ht="12.75" customHeight="1" x14ac:dyDescent="0.25">
      <c r="C32" s="71"/>
      <c r="N32" s="25"/>
      <c r="O32" s="25"/>
      <c r="P32" s="25"/>
      <c r="Q32" s="25"/>
      <c r="R32" s="25"/>
      <c r="S32" s="25"/>
      <c r="T32" s="25"/>
      <c r="U32" s="25"/>
      <c r="V32" s="25"/>
      <c r="W32" s="25"/>
      <c r="X32" s="25"/>
      <c r="Y32" s="25"/>
      <c r="Z32" s="25"/>
      <c r="AA32" s="25"/>
      <c r="AB32" s="25"/>
      <c r="AC32" s="25"/>
      <c r="AD32" s="25"/>
    </row>
    <row r="33" spans="1:30" ht="12.75" customHeight="1" thickBot="1" x14ac:dyDescent="0.3">
      <c r="C33" s="71"/>
      <c r="N33" s="25"/>
      <c r="O33" s="25"/>
      <c r="P33" s="25"/>
      <c r="Q33" s="25"/>
      <c r="R33" s="25"/>
      <c r="S33" s="25"/>
      <c r="T33" s="25"/>
      <c r="U33" s="25"/>
      <c r="V33" s="25"/>
      <c r="W33" s="25"/>
      <c r="X33" s="25"/>
      <c r="Y33" s="25"/>
      <c r="Z33" s="25"/>
      <c r="AA33" s="25"/>
      <c r="AB33" s="25"/>
      <c r="AC33" s="25"/>
      <c r="AD33" s="25"/>
    </row>
    <row r="34" spans="1:30" ht="12.75" customHeight="1" x14ac:dyDescent="0.3">
      <c r="B34" s="72"/>
      <c r="C34" s="73"/>
      <c r="D34" s="197" t="s">
        <v>143</v>
      </c>
      <c r="E34" s="198"/>
      <c r="F34" s="198"/>
      <c r="G34" s="198"/>
      <c r="H34" s="198"/>
      <c r="I34" s="198"/>
      <c r="J34" s="198"/>
      <c r="K34" s="198"/>
      <c r="L34" s="198"/>
      <c r="M34" s="198"/>
      <c r="N34" s="199"/>
      <c r="O34" s="194" t="s">
        <v>144</v>
      </c>
      <c r="P34" s="195"/>
      <c r="Q34" s="195"/>
      <c r="R34" s="195"/>
      <c r="S34" s="195"/>
      <c r="T34" s="196"/>
      <c r="U34" s="25"/>
      <c r="V34" s="25"/>
      <c r="W34" s="25"/>
      <c r="X34" s="25"/>
      <c r="Y34" s="25"/>
      <c r="Z34" s="25"/>
      <c r="AA34" s="25"/>
      <c r="AB34" s="25"/>
      <c r="AC34" s="25"/>
      <c r="AD34" s="25"/>
    </row>
    <row r="35" spans="1:30" ht="41.25" customHeight="1" thickBot="1" x14ac:dyDescent="0.3">
      <c r="B35" s="50"/>
      <c r="C35" s="74"/>
      <c r="D35" s="75" t="s">
        <v>0</v>
      </c>
      <c r="E35" s="121" t="s">
        <v>10</v>
      </c>
      <c r="F35" s="121" t="s">
        <v>1</v>
      </c>
      <c r="G35" s="121" t="s">
        <v>2</v>
      </c>
      <c r="H35" s="121" t="s">
        <v>187</v>
      </c>
      <c r="I35" s="121" t="s">
        <v>50</v>
      </c>
      <c r="J35" s="121" t="s">
        <v>197</v>
      </c>
      <c r="K35" s="121" t="s">
        <v>51</v>
      </c>
      <c r="L35" s="121" t="s">
        <v>52</v>
      </c>
      <c r="M35" s="137" t="s">
        <v>3</v>
      </c>
      <c r="N35" s="138" t="s">
        <v>4</v>
      </c>
      <c r="O35" s="75" t="s">
        <v>5</v>
      </c>
      <c r="P35" s="121" t="s">
        <v>6</v>
      </c>
      <c r="Q35" s="121" t="s">
        <v>7</v>
      </c>
      <c r="R35" s="121" t="s">
        <v>188</v>
      </c>
      <c r="S35" s="121" t="s">
        <v>8</v>
      </c>
      <c r="T35" s="76" t="s">
        <v>9</v>
      </c>
      <c r="U35" s="25"/>
      <c r="V35" s="25"/>
      <c r="W35" s="25"/>
      <c r="X35" s="25"/>
      <c r="Y35" s="25"/>
      <c r="Z35" s="25"/>
      <c r="AA35" s="25"/>
      <c r="AB35" s="25"/>
      <c r="AC35" s="25"/>
      <c r="AD35" s="25"/>
    </row>
    <row r="36" spans="1:30" ht="12.75" customHeight="1" thickBot="1" x14ac:dyDescent="0.3">
      <c r="A36" s="25" t="s">
        <v>184</v>
      </c>
      <c r="B36" s="51" t="s">
        <v>86</v>
      </c>
      <c r="C36" s="77" t="s">
        <v>81</v>
      </c>
      <c r="D36" s="192" t="s">
        <v>145</v>
      </c>
      <c r="E36" s="193"/>
      <c r="F36" s="193"/>
      <c r="G36" s="193"/>
      <c r="H36" s="193"/>
      <c r="I36" s="193"/>
      <c r="J36" s="193"/>
      <c r="K36" s="193"/>
      <c r="L36" s="193"/>
      <c r="M36" s="193"/>
      <c r="N36" s="193"/>
      <c r="O36" s="193"/>
      <c r="P36" s="193"/>
      <c r="Q36" s="193"/>
      <c r="R36" s="193"/>
      <c r="S36" s="193"/>
      <c r="T36" s="193"/>
      <c r="U36" s="25"/>
      <c r="V36" s="25"/>
      <c r="W36" s="25"/>
      <c r="X36" s="25"/>
      <c r="Y36" s="25"/>
      <c r="Z36" s="25"/>
      <c r="AA36" s="25"/>
      <c r="AB36" s="25"/>
      <c r="AC36" s="25"/>
      <c r="AD36" s="25"/>
    </row>
    <row r="37" spans="1:30" ht="12.75" customHeight="1" x14ac:dyDescent="0.25">
      <c r="A37" s="25">
        <f>IF(INDEX(D37:T37,1,MATCH(Uncertainties_estimation!J$6,D$35:T$35,0))&gt;0,1,0)</f>
        <v>1</v>
      </c>
      <c r="B37" s="53" t="s">
        <v>89</v>
      </c>
      <c r="C37" s="69" t="s">
        <v>90</v>
      </c>
      <c r="D37" s="135">
        <v>1.4139999999999999</v>
      </c>
      <c r="E37" s="136">
        <v>1.4139999999999999</v>
      </c>
      <c r="F37" s="78">
        <v>1.4139999999999999</v>
      </c>
      <c r="G37" s="78">
        <v>1.4139999999999999</v>
      </c>
      <c r="H37" s="78">
        <v>1.4139999999999999</v>
      </c>
      <c r="I37" s="78">
        <v>0</v>
      </c>
      <c r="J37" s="78">
        <v>0</v>
      </c>
      <c r="K37" s="78">
        <v>0</v>
      </c>
      <c r="L37" s="78">
        <v>0</v>
      </c>
      <c r="M37" s="78">
        <v>1.4139999999999999</v>
      </c>
      <c r="N37" s="78">
        <v>1.4139999999999999</v>
      </c>
      <c r="O37" s="78">
        <v>1.4139999999999999</v>
      </c>
      <c r="P37" s="78">
        <v>1.4139999999999999</v>
      </c>
      <c r="Q37" s="78">
        <v>1.4139999999999999</v>
      </c>
      <c r="R37" s="78">
        <v>1.4139999999999999</v>
      </c>
      <c r="S37" s="78">
        <v>1.4139999999999999</v>
      </c>
      <c r="T37" s="79">
        <v>1.4139999999999999</v>
      </c>
      <c r="U37" s="25"/>
      <c r="V37" s="25"/>
      <c r="W37" s="25"/>
      <c r="X37" s="25"/>
      <c r="Y37" s="25"/>
      <c r="Z37" s="25"/>
      <c r="AA37" s="25"/>
      <c r="AB37" s="25"/>
      <c r="AC37" s="25"/>
      <c r="AD37" s="25"/>
    </row>
    <row r="38" spans="1:30" ht="12.75" customHeight="1" x14ac:dyDescent="0.25">
      <c r="A38" s="25">
        <f>IF(INDEX(D38:T38,1,MATCH(Uncertainties_estimation!J$6,D$35:T$35,0))&gt;0,A37+1,A37)</f>
        <v>2</v>
      </c>
      <c r="B38" s="53" t="s">
        <v>172</v>
      </c>
      <c r="C38" s="54" t="s">
        <v>94</v>
      </c>
      <c r="D38" s="80">
        <v>1</v>
      </c>
      <c r="E38" s="49">
        <v>1</v>
      </c>
      <c r="F38" s="49">
        <v>1</v>
      </c>
      <c r="G38" s="49">
        <v>1</v>
      </c>
      <c r="H38" s="49">
        <v>1</v>
      </c>
      <c r="I38" s="49">
        <v>0</v>
      </c>
      <c r="J38" s="49">
        <v>0</v>
      </c>
      <c r="K38" s="49">
        <v>0</v>
      </c>
      <c r="L38" s="49">
        <v>0</v>
      </c>
      <c r="M38" s="49">
        <v>1</v>
      </c>
      <c r="N38" s="49">
        <v>1</v>
      </c>
      <c r="O38" s="49">
        <v>1</v>
      </c>
      <c r="P38" s="49">
        <v>1</v>
      </c>
      <c r="Q38" s="49">
        <v>1</v>
      </c>
      <c r="R38" s="49">
        <v>1</v>
      </c>
      <c r="S38" s="49">
        <v>1</v>
      </c>
      <c r="T38" s="81">
        <v>1</v>
      </c>
      <c r="U38" s="25"/>
      <c r="V38" s="25"/>
      <c r="W38" s="25"/>
      <c r="X38" s="25"/>
      <c r="Y38" s="25"/>
      <c r="Z38" s="25"/>
      <c r="AA38" s="25"/>
      <c r="AB38" s="25"/>
      <c r="AC38" s="25"/>
      <c r="AD38" s="25"/>
    </row>
    <row r="39" spans="1:30" ht="12.75" customHeight="1" x14ac:dyDescent="0.25">
      <c r="A39" s="25">
        <f>IF(INDEX(D39:T39,1,MATCH(Uncertainties_estimation!J$6,D$35:T$35,0))&gt;0,A38+1,A38)</f>
        <v>2</v>
      </c>
      <c r="B39" s="53" t="s">
        <v>173</v>
      </c>
      <c r="C39" s="67" t="s">
        <v>178</v>
      </c>
      <c r="D39" s="80">
        <v>0</v>
      </c>
      <c r="E39" s="49">
        <v>1</v>
      </c>
      <c r="F39" s="49">
        <v>0</v>
      </c>
      <c r="G39" s="49">
        <v>0</v>
      </c>
      <c r="H39" s="49">
        <v>0</v>
      </c>
      <c r="I39" s="49">
        <v>0</v>
      </c>
      <c r="J39" s="49">
        <v>0</v>
      </c>
      <c r="K39" s="49">
        <v>0</v>
      </c>
      <c r="L39" s="49">
        <v>0</v>
      </c>
      <c r="M39" s="49">
        <v>0</v>
      </c>
      <c r="N39" s="49">
        <v>0</v>
      </c>
      <c r="O39" s="49">
        <v>0</v>
      </c>
      <c r="P39" s="49">
        <v>0</v>
      </c>
      <c r="Q39" s="49">
        <v>0</v>
      </c>
      <c r="R39" s="49">
        <v>0</v>
      </c>
      <c r="S39" s="49">
        <v>0</v>
      </c>
      <c r="T39" s="81">
        <v>0</v>
      </c>
      <c r="U39" s="25"/>
      <c r="V39" s="25"/>
      <c r="W39" s="25"/>
      <c r="X39" s="25"/>
      <c r="Y39" s="25"/>
      <c r="Z39" s="25"/>
      <c r="AA39" s="25"/>
      <c r="AB39" s="25"/>
      <c r="AC39" s="25"/>
      <c r="AD39" s="25"/>
    </row>
    <row r="40" spans="1:30" ht="12.75" customHeight="1" x14ac:dyDescent="0.25">
      <c r="A40" s="25">
        <f>IF(INDEX(D40:T40,1,MATCH(Uncertainties_estimation!J$6,D$35:T$35,0))&gt;0,A39+1,A39)</f>
        <v>2</v>
      </c>
      <c r="B40" s="53" t="s">
        <v>106</v>
      </c>
      <c r="C40" s="69" t="s">
        <v>107</v>
      </c>
      <c r="D40" s="80">
        <v>0</v>
      </c>
      <c r="E40" s="49">
        <v>0</v>
      </c>
      <c r="F40" s="49">
        <v>0</v>
      </c>
      <c r="G40" s="49">
        <v>0</v>
      </c>
      <c r="H40" s="49">
        <v>0</v>
      </c>
      <c r="I40" s="49">
        <v>0</v>
      </c>
      <c r="J40" s="49">
        <v>0</v>
      </c>
      <c r="K40" s="49">
        <v>0</v>
      </c>
      <c r="L40" s="49">
        <v>0</v>
      </c>
      <c r="M40" s="49">
        <v>0</v>
      </c>
      <c r="N40" s="49">
        <v>0</v>
      </c>
      <c r="O40" s="49">
        <v>1</v>
      </c>
      <c r="P40" s="49">
        <v>1</v>
      </c>
      <c r="Q40" s="49">
        <v>1</v>
      </c>
      <c r="R40" s="49">
        <v>1</v>
      </c>
      <c r="S40" s="49">
        <v>1</v>
      </c>
      <c r="T40" s="81">
        <v>1</v>
      </c>
      <c r="U40" s="25"/>
      <c r="V40" s="25"/>
      <c r="W40" s="25"/>
      <c r="X40" s="25"/>
      <c r="Y40" s="25"/>
      <c r="Z40" s="25"/>
      <c r="AA40" s="25"/>
      <c r="AB40" s="25"/>
      <c r="AC40" s="25"/>
      <c r="AD40" s="25"/>
    </row>
    <row r="41" spans="1:30" ht="12.75" customHeight="1" x14ac:dyDescent="0.25">
      <c r="A41" s="25">
        <f>IF(INDEX(D41:T41,1,MATCH(Uncertainties_estimation!J$6,D$35:T$35,0))&gt;0,A40+1,A40)</f>
        <v>3</v>
      </c>
      <c r="B41" s="53" t="s">
        <v>111</v>
      </c>
      <c r="C41" s="69" t="s">
        <v>112</v>
      </c>
      <c r="D41" s="80">
        <v>1</v>
      </c>
      <c r="E41" s="49">
        <v>1</v>
      </c>
      <c r="F41" s="49">
        <v>1</v>
      </c>
      <c r="G41" s="49">
        <v>1</v>
      </c>
      <c r="H41" s="49">
        <v>1</v>
      </c>
      <c r="I41" s="49">
        <v>0</v>
      </c>
      <c r="J41" s="49">
        <v>0</v>
      </c>
      <c r="K41" s="49">
        <v>0</v>
      </c>
      <c r="L41" s="49">
        <v>0</v>
      </c>
      <c r="M41" s="49">
        <v>1</v>
      </c>
      <c r="N41" s="49">
        <v>1</v>
      </c>
      <c r="O41" s="49">
        <v>1</v>
      </c>
      <c r="P41" s="49">
        <v>1</v>
      </c>
      <c r="Q41" s="49">
        <v>1</v>
      </c>
      <c r="R41" s="49">
        <v>1</v>
      </c>
      <c r="S41" s="49">
        <v>1</v>
      </c>
      <c r="T41" s="81">
        <v>1</v>
      </c>
      <c r="U41" s="25"/>
      <c r="V41" s="25"/>
      <c r="W41" s="25"/>
      <c r="X41" s="25"/>
      <c r="Y41" s="25"/>
      <c r="Z41" s="25"/>
      <c r="AA41" s="25"/>
      <c r="AB41" s="25"/>
      <c r="AC41" s="25"/>
      <c r="AD41" s="25"/>
    </row>
    <row r="42" spans="1:30" ht="12.75" customHeight="1" x14ac:dyDescent="0.25">
      <c r="A42" s="25">
        <f>IF(INDEX(D42:T42,1,MATCH(Uncertainties_estimation!J$6,D$35:T$35,0))&gt;0,A41+1,A41)</f>
        <v>4</v>
      </c>
      <c r="B42" s="53" t="s">
        <v>115</v>
      </c>
      <c r="C42" s="69" t="s">
        <v>116</v>
      </c>
      <c r="D42" s="80">
        <v>1.4139999999999999</v>
      </c>
      <c r="E42" s="49">
        <v>1.4139999999999999</v>
      </c>
      <c r="F42" s="49">
        <v>1.4139999999999999</v>
      </c>
      <c r="G42" s="49">
        <v>1.4139999999999999</v>
      </c>
      <c r="H42" s="49">
        <v>1.4139999999999999</v>
      </c>
      <c r="I42" s="49">
        <v>0</v>
      </c>
      <c r="J42" s="49">
        <v>0</v>
      </c>
      <c r="K42" s="49">
        <v>0</v>
      </c>
      <c r="L42" s="49">
        <v>0</v>
      </c>
      <c r="M42" s="49">
        <v>1.4139999999999999</v>
      </c>
      <c r="N42" s="49">
        <v>1.4139999999999999</v>
      </c>
      <c r="O42" s="49">
        <v>1.4139999999999999</v>
      </c>
      <c r="P42" s="49">
        <v>1.4139999999999999</v>
      </c>
      <c r="Q42" s="49">
        <v>1.4139999999999999</v>
      </c>
      <c r="R42" s="49">
        <v>1.4139999999999999</v>
      </c>
      <c r="S42" s="49">
        <v>1.4139999999999999</v>
      </c>
      <c r="T42" s="81">
        <v>1.4139999999999999</v>
      </c>
      <c r="U42" s="25"/>
      <c r="V42" s="25"/>
      <c r="W42" s="25"/>
      <c r="X42" s="25"/>
      <c r="Y42" s="25"/>
      <c r="Z42" s="25"/>
      <c r="AA42" s="25"/>
      <c r="AB42" s="25"/>
      <c r="AC42" s="25"/>
      <c r="AD42" s="25"/>
    </row>
    <row r="43" spans="1:30" ht="12.75" customHeight="1" x14ac:dyDescent="0.25">
      <c r="A43" s="25">
        <f>IF(INDEX(D43:T43,1,MATCH(Uncertainties_estimation!J$6,D$35:T$35,0))&gt;0,A42+1,A42)</f>
        <v>5</v>
      </c>
      <c r="B43" s="53" t="s">
        <v>119</v>
      </c>
      <c r="C43" s="69" t="s">
        <v>146</v>
      </c>
      <c r="D43" s="80">
        <v>1.4139999999999999</v>
      </c>
      <c r="E43" s="49">
        <v>1.4139999999999999</v>
      </c>
      <c r="F43" s="49">
        <v>1.4139999999999999</v>
      </c>
      <c r="G43" s="49">
        <v>1.4139999999999999</v>
      </c>
      <c r="H43" s="49">
        <v>1.4139999999999999</v>
      </c>
      <c r="I43" s="49">
        <v>0</v>
      </c>
      <c r="J43" s="49">
        <v>0</v>
      </c>
      <c r="K43" s="49">
        <v>0</v>
      </c>
      <c r="L43" s="49">
        <v>0</v>
      </c>
      <c r="M43" s="49">
        <v>1.4139999999999999</v>
      </c>
      <c r="N43" s="49">
        <v>1.4139999999999999</v>
      </c>
      <c r="O43" s="49">
        <v>0</v>
      </c>
      <c r="P43" s="49">
        <v>0</v>
      </c>
      <c r="Q43" s="49">
        <v>0</v>
      </c>
      <c r="R43" s="49">
        <v>0</v>
      </c>
      <c r="S43" s="49">
        <v>0</v>
      </c>
      <c r="T43" s="81">
        <v>0</v>
      </c>
    </row>
    <row r="44" spans="1:30" ht="12.75" customHeight="1" x14ac:dyDescent="0.25">
      <c r="A44" s="25">
        <f>IF(INDEX(D44:T44,1,MATCH(Uncertainties_estimation!J$6,D$35:T$35,0))&gt;0,A43+1,A43)</f>
        <v>6</v>
      </c>
      <c r="B44" s="53" t="s">
        <v>122</v>
      </c>
      <c r="C44" s="69" t="s">
        <v>123</v>
      </c>
      <c r="D44" s="80">
        <v>1.4139999999999999</v>
      </c>
      <c r="E44" s="49">
        <v>1.4139999999999999</v>
      </c>
      <c r="F44" s="49">
        <v>1.4139999999999999</v>
      </c>
      <c r="G44" s="49">
        <v>1.4139999999999999</v>
      </c>
      <c r="H44" s="49">
        <v>1.4139999999999999</v>
      </c>
      <c r="I44" s="49">
        <v>0</v>
      </c>
      <c r="J44" s="49">
        <v>0</v>
      </c>
      <c r="K44" s="49">
        <v>0</v>
      </c>
      <c r="L44" s="49">
        <v>0</v>
      </c>
      <c r="M44" s="49">
        <v>1.4139999999999999</v>
      </c>
      <c r="N44" s="49">
        <v>1.4139999999999999</v>
      </c>
      <c r="O44" s="49">
        <v>0</v>
      </c>
      <c r="P44" s="49">
        <v>0</v>
      </c>
      <c r="Q44" s="49">
        <v>0</v>
      </c>
      <c r="R44" s="49">
        <v>0</v>
      </c>
      <c r="S44" s="49">
        <v>0</v>
      </c>
      <c r="T44" s="81">
        <v>0</v>
      </c>
    </row>
    <row r="45" spans="1:30" ht="12.75" customHeight="1" x14ac:dyDescent="0.25">
      <c r="A45" s="25">
        <f>IF(INDEX(D45:T45,1,MATCH(Uncertainties_estimation!J$6,D$35:T$35,0))&gt;0,A44+1,A44)</f>
        <v>7</v>
      </c>
      <c r="B45" s="53" t="s">
        <v>125</v>
      </c>
      <c r="C45" s="69" t="s">
        <v>126</v>
      </c>
      <c r="D45" s="80">
        <v>1.4139999999999999</v>
      </c>
      <c r="E45" s="49">
        <v>1.4139999999999999</v>
      </c>
      <c r="F45" s="49">
        <v>1.4139999999999999</v>
      </c>
      <c r="G45" s="49">
        <v>1.4139999999999999</v>
      </c>
      <c r="H45" s="49">
        <v>1.4139999999999999</v>
      </c>
      <c r="I45" s="49">
        <v>0</v>
      </c>
      <c r="J45" s="49">
        <v>0</v>
      </c>
      <c r="K45" s="49">
        <v>0</v>
      </c>
      <c r="L45" s="49">
        <v>0</v>
      </c>
      <c r="M45" s="49">
        <v>1.4139999999999999</v>
      </c>
      <c r="N45" s="49">
        <v>1.4139999999999999</v>
      </c>
      <c r="O45" s="49">
        <v>1.4139999999999999</v>
      </c>
      <c r="P45" s="49">
        <v>1.4139999999999999</v>
      </c>
      <c r="Q45" s="49">
        <v>1.4139999999999999</v>
      </c>
      <c r="R45" s="49">
        <v>1.4139999999999999</v>
      </c>
      <c r="S45" s="49">
        <v>1.4139999999999999</v>
      </c>
      <c r="T45" s="81">
        <v>1.4139999999999999</v>
      </c>
    </row>
    <row r="46" spans="1:30" ht="12.75" customHeight="1" x14ac:dyDescent="0.25">
      <c r="A46" s="25">
        <f>IF(INDEX(D46:T46,1,MATCH(Uncertainties_estimation!J$6,D$35:T$35,0))&gt;0,A45+1,A45)</f>
        <v>8</v>
      </c>
      <c r="B46" s="53" t="s">
        <v>128</v>
      </c>
      <c r="C46" s="69" t="s">
        <v>129</v>
      </c>
      <c r="D46" s="80">
        <v>1.4139999999999999</v>
      </c>
      <c r="E46" s="49">
        <v>1.4139999999999999</v>
      </c>
      <c r="F46" s="49">
        <v>1.4139999999999999</v>
      </c>
      <c r="G46" s="49">
        <v>1.4139999999999999</v>
      </c>
      <c r="H46" s="49">
        <v>1.4139999999999999</v>
      </c>
      <c r="I46" s="49">
        <v>0</v>
      </c>
      <c r="J46" s="49">
        <v>0</v>
      </c>
      <c r="K46" s="49">
        <v>0</v>
      </c>
      <c r="L46" s="49">
        <v>0</v>
      </c>
      <c r="M46" s="49">
        <v>1.4139999999999999</v>
      </c>
      <c r="N46" s="49">
        <v>1.4139999999999999</v>
      </c>
      <c r="O46" s="49">
        <v>1.4139999999999999</v>
      </c>
      <c r="P46" s="49">
        <v>1.4139999999999999</v>
      </c>
      <c r="Q46" s="49">
        <v>1.4139999999999999</v>
      </c>
      <c r="R46" s="49">
        <v>1.4139999999999999</v>
      </c>
      <c r="S46" s="49">
        <v>1.4139999999999999</v>
      </c>
      <c r="T46" s="81">
        <v>1.4139999999999999</v>
      </c>
    </row>
    <row r="47" spans="1:30" ht="12.75" customHeight="1" x14ac:dyDescent="0.25">
      <c r="A47" s="25">
        <f>IF(INDEX(D47:T47,1,MATCH(Uncertainties_estimation!J$6,D$35:T$35,0))&gt;0,A46+1,A46)</f>
        <v>9</v>
      </c>
      <c r="B47" s="53" t="s">
        <v>130</v>
      </c>
      <c r="C47" s="68" t="s">
        <v>131</v>
      </c>
      <c r="D47" s="80">
        <v>1.4139999999999999</v>
      </c>
      <c r="E47" s="49">
        <v>1.4139999999999999</v>
      </c>
      <c r="F47" s="49">
        <v>1.4139999999999999</v>
      </c>
      <c r="G47" s="49">
        <v>1.4139999999999999</v>
      </c>
      <c r="H47" s="49">
        <v>1.4139999999999999</v>
      </c>
      <c r="I47" s="49">
        <v>0</v>
      </c>
      <c r="J47" s="49">
        <v>0</v>
      </c>
      <c r="K47" s="49">
        <v>0</v>
      </c>
      <c r="L47" s="49">
        <v>0</v>
      </c>
      <c r="M47" s="49">
        <v>1.4139999999999999</v>
      </c>
      <c r="N47" s="49">
        <v>1.4139999999999999</v>
      </c>
      <c r="O47" s="49">
        <v>1.4139999999999999</v>
      </c>
      <c r="P47" s="49">
        <v>1.4139999999999999</v>
      </c>
      <c r="Q47" s="49">
        <v>1.4139999999999999</v>
      </c>
      <c r="R47" s="49">
        <v>1.4139999999999999</v>
      </c>
      <c r="S47" s="49">
        <v>1.4139999999999999</v>
      </c>
      <c r="T47" s="81">
        <v>1.4139999999999999</v>
      </c>
    </row>
    <row r="48" spans="1:30" ht="12.75" customHeight="1" x14ac:dyDescent="0.25">
      <c r="A48" s="25">
        <f>IF(INDEX(D48:T48,1,MATCH(Uncertainties_estimation!J$6,D$35:T$35,0))&gt;0,A47+1,A47)</f>
        <v>9</v>
      </c>
      <c r="B48" s="53" t="s">
        <v>181</v>
      </c>
      <c r="C48" s="67" t="s">
        <v>179</v>
      </c>
      <c r="D48" s="80">
        <v>0</v>
      </c>
      <c r="E48" s="49">
        <v>0</v>
      </c>
      <c r="F48" s="49">
        <v>0</v>
      </c>
      <c r="G48" s="49">
        <v>0</v>
      </c>
      <c r="H48" s="49">
        <v>0</v>
      </c>
      <c r="I48" s="49">
        <v>1</v>
      </c>
      <c r="J48" s="49">
        <v>1</v>
      </c>
      <c r="K48" s="49">
        <v>1</v>
      </c>
      <c r="L48" s="49">
        <v>1</v>
      </c>
      <c r="M48" s="49">
        <v>0</v>
      </c>
      <c r="N48" s="49">
        <v>0</v>
      </c>
      <c r="O48" s="49">
        <v>0</v>
      </c>
      <c r="P48" s="49">
        <v>0</v>
      </c>
      <c r="Q48" s="49">
        <v>0</v>
      </c>
      <c r="R48" s="49">
        <v>0</v>
      </c>
      <c r="S48" s="49">
        <v>0</v>
      </c>
      <c r="T48" s="81">
        <v>0</v>
      </c>
    </row>
    <row r="49" spans="1:20" ht="12.75" customHeight="1" x14ac:dyDescent="0.25">
      <c r="A49" s="25">
        <f>IF(INDEX(D49:T49,1,MATCH(Uncertainties_estimation!J$6,D$35:T$35,0))&gt;0,A48+1,A48)</f>
        <v>9</v>
      </c>
      <c r="B49" s="53" t="s">
        <v>182</v>
      </c>
      <c r="C49" s="67" t="s">
        <v>180</v>
      </c>
      <c r="D49" s="80">
        <v>0</v>
      </c>
      <c r="E49" s="49">
        <v>0</v>
      </c>
      <c r="F49" s="49">
        <v>0</v>
      </c>
      <c r="G49" s="49">
        <v>0</v>
      </c>
      <c r="H49" s="49">
        <v>0</v>
      </c>
      <c r="I49" s="49">
        <v>0</v>
      </c>
      <c r="J49" s="49">
        <v>0</v>
      </c>
      <c r="K49" s="49">
        <v>1</v>
      </c>
      <c r="L49" s="49">
        <v>1</v>
      </c>
      <c r="M49" s="49">
        <v>0</v>
      </c>
      <c r="N49" s="49">
        <v>0</v>
      </c>
      <c r="O49" s="49">
        <v>0</v>
      </c>
      <c r="P49" s="49">
        <v>0</v>
      </c>
      <c r="Q49" s="49">
        <v>0</v>
      </c>
      <c r="R49" s="49">
        <v>0</v>
      </c>
      <c r="S49" s="49">
        <v>0</v>
      </c>
      <c r="T49" s="81">
        <v>0</v>
      </c>
    </row>
    <row r="50" spans="1:20" ht="12.75" customHeight="1" x14ac:dyDescent="0.25">
      <c r="A50" s="25">
        <f>IF(INDEX(D50:T50,1,MATCH(Uncertainties_estimation!J$6,D$35:T$35,0))&gt;0,A49+1,A49)</f>
        <v>9</v>
      </c>
      <c r="B50" s="53" t="s">
        <v>175</v>
      </c>
      <c r="C50" s="67" t="s">
        <v>159</v>
      </c>
      <c r="D50" s="80">
        <v>0</v>
      </c>
      <c r="E50" s="49">
        <v>0</v>
      </c>
      <c r="F50" s="49">
        <v>0</v>
      </c>
      <c r="G50" s="49">
        <v>0</v>
      </c>
      <c r="H50" s="49">
        <v>0</v>
      </c>
      <c r="I50" s="49">
        <v>1</v>
      </c>
      <c r="J50" s="49">
        <v>1</v>
      </c>
      <c r="K50" s="49">
        <v>1</v>
      </c>
      <c r="L50" s="49">
        <v>1</v>
      </c>
      <c r="M50" s="49">
        <v>0</v>
      </c>
      <c r="N50" s="49">
        <v>0</v>
      </c>
      <c r="O50" s="49">
        <v>0</v>
      </c>
      <c r="P50" s="49">
        <v>0</v>
      </c>
      <c r="Q50" s="49">
        <v>0</v>
      </c>
      <c r="R50" s="49">
        <v>0</v>
      </c>
      <c r="S50" s="49">
        <v>0</v>
      </c>
      <c r="T50" s="81">
        <v>0</v>
      </c>
    </row>
    <row r="51" spans="1:20" ht="12.75" customHeight="1" x14ac:dyDescent="0.25">
      <c r="A51" s="25">
        <f>IF(INDEX(D51:T51,1,MATCH(Uncertainties_estimation!J$6,D$35:T$35,0))&gt;0,A50+1,A50)</f>
        <v>9</v>
      </c>
      <c r="B51" s="53" t="s">
        <v>176</v>
      </c>
      <c r="C51" s="67" t="s">
        <v>160</v>
      </c>
      <c r="D51" s="80">
        <v>0</v>
      </c>
      <c r="E51" s="49">
        <v>0</v>
      </c>
      <c r="F51" s="49">
        <v>0</v>
      </c>
      <c r="G51" s="49">
        <v>0</v>
      </c>
      <c r="H51" s="49">
        <v>0</v>
      </c>
      <c r="I51" s="49">
        <v>1.4139999999999999</v>
      </c>
      <c r="J51" s="49">
        <v>1.4139999999999999</v>
      </c>
      <c r="K51" s="49">
        <v>1.4139999999999999</v>
      </c>
      <c r="L51" s="49">
        <v>1.4139999999999999</v>
      </c>
      <c r="M51" s="49">
        <v>0</v>
      </c>
      <c r="N51" s="49">
        <v>0</v>
      </c>
      <c r="O51" s="49">
        <v>0</v>
      </c>
      <c r="P51" s="49">
        <v>0</v>
      </c>
      <c r="Q51" s="49">
        <v>0</v>
      </c>
      <c r="R51" s="49">
        <v>0</v>
      </c>
      <c r="S51" s="49">
        <v>0</v>
      </c>
      <c r="T51" s="81">
        <v>0</v>
      </c>
    </row>
    <row r="52" spans="1:20" ht="12.75" customHeight="1" x14ac:dyDescent="0.25">
      <c r="A52" s="25">
        <f>IF(INDEX(D52:T52,1,MATCH(Uncertainties_estimation!J$6,D$35:T$35,0))&gt;0,A51+1,A51)</f>
        <v>9</v>
      </c>
      <c r="B52" s="53" t="s">
        <v>199</v>
      </c>
      <c r="C52" s="67" t="s">
        <v>161</v>
      </c>
      <c r="D52" s="80">
        <v>0</v>
      </c>
      <c r="E52" s="49">
        <v>0</v>
      </c>
      <c r="F52" s="49">
        <v>0</v>
      </c>
      <c r="G52" s="49">
        <v>0</v>
      </c>
      <c r="H52" s="49">
        <v>0</v>
      </c>
      <c r="I52" s="49">
        <v>1</v>
      </c>
      <c r="J52" s="49">
        <v>1</v>
      </c>
      <c r="K52" s="49">
        <v>3</v>
      </c>
      <c r="L52" s="49">
        <v>1</v>
      </c>
      <c r="M52" s="49">
        <v>0</v>
      </c>
      <c r="N52" s="49">
        <v>0</v>
      </c>
      <c r="O52" s="49">
        <v>0</v>
      </c>
      <c r="P52" s="49">
        <v>0</v>
      </c>
      <c r="Q52" s="49">
        <v>0</v>
      </c>
      <c r="R52" s="49">
        <v>0</v>
      </c>
      <c r="S52" s="49">
        <v>0</v>
      </c>
      <c r="T52" s="81">
        <v>0</v>
      </c>
    </row>
    <row r="53" spans="1:20" ht="12.75" customHeight="1" x14ac:dyDescent="0.25">
      <c r="A53" s="25">
        <f>IF(INDEX(D53:T53,1,MATCH(Uncertainties_estimation!J$6,D$35:T$35,0))&gt;0,A52+1,A52)</f>
        <v>9</v>
      </c>
      <c r="B53" s="53" t="s">
        <v>200</v>
      </c>
      <c r="C53" s="67" t="s">
        <v>163</v>
      </c>
      <c r="D53" s="80">
        <v>0</v>
      </c>
      <c r="E53" s="49">
        <v>0</v>
      </c>
      <c r="F53" s="49">
        <v>0</v>
      </c>
      <c r="G53" s="49">
        <v>0</v>
      </c>
      <c r="H53" s="49">
        <v>0</v>
      </c>
      <c r="I53" s="49">
        <v>1</v>
      </c>
      <c r="J53" s="49">
        <v>1</v>
      </c>
      <c r="K53" s="49">
        <v>1</v>
      </c>
      <c r="L53" s="49">
        <v>1</v>
      </c>
      <c r="M53" s="49">
        <v>0</v>
      </c>
      <c r="N53" s="49">
        <v>0</v>
      </c>
      <c r="O53" s="49">
        <v>0</v>
      </c>
      <c r="P53" s="49">
        <v>0</v>
      </c>
      <c r="Q53" s="49">
        <v>0</v>
      </c>
      <c r="R53" s="49">
        <v>0</v>
      </c>
      <c r="S53" s="49">
        <v>0</v>
      </c>
      <c r="T53" s="81">
        <v>0</v>
      </c>
    </row>
    <row r="54" spans="1:20" ht="12.75" customHeight="1" x14ac:dyDescent="0.25">
      <c r="A54" s="25">
        <f>IF(INDEX(D54:T54,1,MATCH(Uncertainties_estimation!J$6,D$35:T$35,0))&gt;0,A53+1,A53)</f>
        <v>9</v>
      </c>
      <c r="B54" s="53" t="s">
        <v>177</v>
      </c>
      <c r="C54" s="67" t="s">
        <v>164</v>
      </c>
      <c r="D54" s="80">
        <v>0</v>
      </c>
      <c r="E54" s="49">
        <v>0</v>
      </c>
      <c r="F54" s="49">
        <v>0</v>
      </c>
      <c r="G54" s="49">
        <v>0</v>
      </c>
      <c r="H54" s="49">
        <v>0</v>
      </c>
      <c r="I54" s="49">
        <v>1.4139999999999999</v>
      </c>
      <c r="J54" s="49">
        <v>1.4139999999999999</v>
      </c>
      <c r="K54" s="49">
        <v>1.4139999999999999</v>
      </c>
      <c r="L54" s="49">
        <v>1.4139999999999999</v>
      </c>
      <c r="M54" s="49">
        <v>0</v>
      </c>
      <c r="N54" s="49">
        <v>0</v>
      </c>
      <c r="O54" s="49">
        <v>0</v>
      </c>
      <c r="P54" s="49">
        <v>0</v>
      </c>
      <c r="Q54" s="49">
        <v>0</v>
      </c>
      <c r="R54" s="49">
        <v>0</v>
      </c>
      <c r="S54" s="49">
        <v>0</v>
      </c>
      <c r="T54" s="81">
        <v>0</v>
      </c>
    </row>
    <row r="55" spans="1:20" ht="12.75" customHeight="1" x14ac:dyDescent="0.25">
      <c r="A55" s="25">
        <f>IF(INDEX(D55:T55,1,MATCH(Uncertainties_estimation!J$6,D$35:T$35,0))&gt;0,1,0)</f>
        <v>0</v>
      </c>
      <c r="B55" s="53" t="s">
        <v>132</v>
      </c>
      <c r="C55" s="68" t="s">
        <v>47</v>
      </c>
      <c r="D55" s="80">
        <v>0</v>
      </c>
      <c r="E55" s="49">
        <v>0</v>
      </c>
      <c r="F55" s="49">
        <v>1</v>
      </c>
      <c r="G55" s="49">
        <v>1.4139999999999999</v>
      </c>
      <c r="H55" s="49">
        <v>0</v>
      </c>
      <c r="I55" s="49">
        <v>0</v>
      </c>
      <c r="J55" s="49">
        <v>0</v>
      </c>
      <c r="K55" s="49">
        <v>0</v>
      </c>
      <c r="L55" s="49">
        <v>0</v>
      </c>
      <c r="M55" s="56">
        <v>0</v>
      </c>
      <c r="N55" s="56">
        <v>0</v>
      </c>
      <c r="O55" s="56">
        <v>0</v>
      </c>
      <c r="P55" s="56">
        <v>1</v>
      </c>
      <c r="Q55" s="56">
        <v>1.4139999999999999</v>
      </c>
      <c r="R55" s="56">
        <v>1.4139999999999999</v>
      </c>
      <c r="S55" s="56">
        <v>0</v>
      </c>
      <c r="T55" s="82">
        <v>0</v>
      </c>
    </row>
    <row r="56" spans="1:20" ht="12.75" customHeight="1" x14ac:dyDescent="0.25">
      <c r="A56" s="25">
        <f>IF(INDEX(D56:T56,1,MATCH(Uncertainties_estimation!J$6,D$35:T$35,0))&gt;0,A55+1,A55)</f>
        <v>0</v>
      </c>
      <c r="B56" s="53" t="s">
        <v>134</v>
      </c>
      <c r="C56" s="68" t="s">
        <v>147</v>
      </c>
      <c r="D56" s="80">
        <v>0</v>
      </c>
      <c r="E56" s="49">
        <v>0</v>
      </c>
      <c r="F56" s="49">
        <v>1</v>
      </c>
      <c r="G56" s="49">
        <v>1.4139999999999999</v>
      </c>
      <c r="H56" s="49">
        <v>0</v>
      </c>
      <c r="I56" s="49">
        <v>0</v>
      </c>
      <c r="J56" s="49">
        <v>0</v>
      </c>
      <c r="K56" s="49">
        <v>0</v>
      </c>
      <c r="L56" s="49">
        <v>0</v>
      </c>
      <c r="M56" s="56">
        <v>0</v>
      </c>
      <c r="N56" s="56">
        <v>0</v>
      </c>
      <c r="O56" s="56">
        <v>0</v>
      </c>
      <c r="P56" s="56">
        <v>1</v>
      </c>
      <c r="Q56" s="56">
        <v>1.4139999999999999</v>
      </c>
      <c r="R56" s="56">
        <v>1.4139999999999999</v>
      </c>
      <c r="S56" s="56">
        <v>0</v>
      </c>
      <c r="T56" s="82">
        <v>0</v>
      </c>
    </row>
    <row r="57" spans="1:20" ht="12.75" customHeight="1" x14ac:dyDescent="0.25">
      <c r="A57" s="25">
        <f>IF(INDEX(D57:T57,1,MATCH(Uncertainties_estimation!J$6,D$35:T$35,0))&gt;0,A56+1,A56)</f>
        <v>1</v>
      </c>
      <c r="B57" s="53" t="s">
        <v>136</v>
      </c>
      <c r="C57" s="69" t="s">
        <v>148</v>
      </c>
      <c r="D57" s="80">
        <v>1.4139999999999999</v>
      </c>
      <c r="E57" s="49">
        <v>1.4139999999999999</v>
      </c>
      <c r="F57" s="49">
        <v>1.4139999999999999</v>
      </c>
      <c r="G57" s="49">
        <v>1.4139999999999999</v>
      </c>
      <c r="H57" s="49">
        <v>1.4139999999999999</v>
      </c>
      <c r="I57" s="49">
        <v>1.4139999999999999</v>
      </c>
      <c r="J57" s="49">
        <v>1.4139999999999999</v>
      </c>
      <c r="K57" s="49">
        <v>1.4139999999999999</v>
      </c>
      <c r="L57" s="49">
        <v>1.4139999999999999</v>
      </c>
      <c r="M57" s="56">
        <v>1.4139999999999999</v>
      </c>
      <c r="N57" s="56">
        <v>1.4139999999999999</v>
      </c>
      <c r="O57" s="56">
        <v>0</v>
      </c>
      <c r="P57" s="56">
        <v>0</v>
      </c>
      <c r="Q57" s="56">
        <v>0</v>
      </c>
      <c r="R57" s="56">
        <v>0</v>
      </c>
      <c r="S57" s="56">
        <v>0</v>
      </c>
      <c r="T57" s="82">
        <v>0</v>
      </c>
    </row>
    <row r="58" spans="1:20" ht="12.75" customHeight="1" x14ac:dyDescent="0.25">
      <c r="A58" s="25">
        <f>IF(INDEX(D58:T58,1,MATCH(Uncertainties_estimation!J$6,D$35:T$35,0))&gt;0,A57+1,A57)</f>
        <v>1</v>
      </c>
      <c r="B58" s="53" t="s">
        <v>194</v>
      </c>
      <c r="C58" s="69" t="s">
        <v>167</v>
      </c>
      <c r="D58" s="80">
        <v>0</v>
      </c>
      <c r="E58" s="49">
        <v>0</v>
      </c>
      <c r="F58" s="49">
        <v>0</v>
      </c>
      <c r="G58" s="49">
        <v>0</v>
      </c>
      <c r="H58" s="49">
        <v>0</v>
      </c>
      <c r="I58" s="49">
        <v>1</v>
      </c>
      <c r="J58" s="49">
        <v>0</v>
      </c>
      <c r="K58" s="49">
        <v>0</v>
      </c>
      <c r="L58" s="49">
        <v>1</v>
      </c>
      <c r="M58" s="56">
        <v>0</v>
      </c>
      <c r="N58" s="56">
        <v>0</v>
      </c>
      <c r="O58" s="56">
        <v>0</v>
      </c>
      <c r="P58" s="56">
        <v>0</v>
      </c>
      <c r="Q58" s="56">
        <v>0</v>
      </c>
      <c r="R58" s="56">
        <v>0</v>
      </c>
      <c r="S58" s="56">
        <v>0</v>
      </c>
      <c r="T58" s="82">
        <v>0</v>
      </c>
    </row>
    <row r="59" spans="1:20" ht="12.75" customHeight="1" x14ac:dyDescent="0.25">
      <c r="A59" s="25">
        <f>IF(INDEX(D59:T59,1,MATCH(Uncertainties_estimation!J$6,D$35:T$35,0))&gt;0,A58+1,A58)</f>
        <v>1</v>
      </c>
      <c r="B59" s="53" t="s">
        <v>195</v>
      </c>
      <c r="C59" s="68" t="s">
        <v>166</v>
      </c>
      <c r="D59" s="80">
        <v>0</v>
      </c>
      <c r="E59" s="49">
        <v>0</v>
      </c>
      <c r="F59" s="49">
        <v>0</v>
      </c>
      <c r="G59" s="49">
        <v>0</v>
      </c>
      <c r="H59" s="49">
        <v>0</v>
      </c>
      <c r="I59" s="49">
        <v>0</v>
      </c>
      <c r="J59" s="49">
        <v>0</v>
      </c>
      <c r="K59" s="49">
        <v>1</v>
      </c>
      <c r="L59" s="49">
        <v>0</v>
      </c>
      <c r="M59" s="56">
        <v>0</v>
      </c>
      <c r="N59" s="56">
        <v>0</v>
      </c>
      <c r="O59" s="56">
        <v>0</v>
      </c>
      <c r="P59" s="56">
        <v>0</v>
      </c>
      <c r="Q59" s="56">
        <v>0</v>
      </c>
      <c r="R59" s="56">
        <v>0</v>
      </c>
      <c r="S59" s="56">
        <v>0</v>
      </c>
      <c r="T59" s="82">
        <v>0</v>
      </c>
    </row>
    <row r="60" spans="1:20" ht="12.75" customHeight="1" x14ac:dyDescent="0.25">
      <c r="A60" s="25">
        <f>IF(INDEX(D60:T60,1,MATCH(Uncertainties_estimation!J$6,D$35:T$35,0))&gt;0,1,0)</f>
        <v>1</v>
      </c>
      <c r="B60" s="53" t="s">
        <v>139</v>
      </c>
      <c r="C60" s="68" t="s">
        <v>47</v>
      </c>
      <c r="D60" s="80">
        <v>1.4139999999999999</v>
      </c>
      <c r="E60" s="49">
        <v>1.4139999999999999</v>
      </c>
      <c r="F60" s="49">
        <v>1.4139999999999999</v>
      </c>
      <c r="G60" s="49">
        <v>1.4139999999999999</v>
      </c>
      <c r="H60" s="49">
        <v>0</v>
      </c>
      <c r="I60" s="49">
        <v>1.4139999999999999</v>
      </c>
      <c r="J60" s="49">
        <v>1.4139999999999999</v>
      </c>
      <c r="K60" s="49">
        <v>1.4139999999999999</v>
      </c>
      <c r="L60" s="49">
        <v>1.4139999999999999</v>
      </c>
      <c r="M60" s="56">
        <v>0</v>
      </c>
      <c r="N60" s="56">
        <v>1.4139999999999999</v>
      </c>
      <c r="O60" s="56">
        <v>1.4139999999999999</v>
      </c>
      <c r="P60" s="56">
        <v>1.4139999999999999</v>
      </c>
      <c r="Q60" s="56">
        <v>1.4139999999999999</v>
      </c>
      <c r="R60" s="56">
        <v>0</v>
      </c>
      <c r="S60" s="56">
        <v>0</v>
      </c>
      <c r="T60" s="82">
        <v>1.4139999999999999</v>
      </c>
    </row>
    <row r="61" spans="1:20" ht="12.75" customHeight="1" x14ac:dyDescent="0.25">
      <c r="A61" s="25">
        <f>IF(INDEX(D61:T61,1,MATCH(Uncertainties_estimation!J$6,D$35:T$35,0))&gt;0,A60+1,A60)</f>
        <v>2</v>
      </c>
      <c r="B61" s="53" t="s">
        <v>140</v>
      </c>
      <c r="C61" s="68" t="s">
        <v>48</v>
      </c>
      <c r="D61" s="80">
        <v>1.4139999999999999</v>
      </c>
      <c r="E61" s="49">
        <v>1.4139999999999999</v>
      </c>
      <c r="F61" s="49">
        <v>1.4139999999999999</v>
      </c>
      <c r="G61" s="49">
        <v>1.4139999999999999</v>
      </c>
      <c r="H61" s="49">
        <v>0</v>
      </c>
      <c r="I61" s="49">
        <v>1.4139999999999999</v>
      </c>
      <c r="J61" s="49">
        <v>1.4139999999999999</v>
      </c>
      <c r="K61" s="49">
        <v>1.4139999999999999</v>
      </c>
      <c r="L61" s="49">
        <v>1.4139999999999999</v>
      </c>
      <c r="M61" s="56">
        <v>0</v>
      </c>
      <c r="N61" s="56">
        <v>1.4139999999999999</v>
      </c>
      <c r="O61" s="56">
        <v>1.4139999999999999</v>
      </c>
      <c r="P61" s="56">
        <v>1.4139999999999999</v>
      </c>
      <c r="Q61" s="56">
        <v>1.4139999999999999</v>
      </c>
      <c r="R61" s="56">
        <v>0</v>
      </c>
      <c r="S61" s="56">
        <v>0</v>
      </c>
      <c r="T61" s="82">
        <v>1.4139999999999999</v>
      </c>
    </row>
    <row r="62" spans="1:20" ht="12.75" customHeight="1" x14ac:dyDescent="0.25">
      <c r="A62" s="25">
        <f>IF(INDEX(D62:T62,1,MATCH(Uncertainties_estimation!J$6,D$35:T$35,0))&gt;0,A61+1,A61)</f>
        <v>2</v>
      </c>
      <c r="B62" s="70" t="s">
        <v>141</v>
      </c>
      <c r="C62" s="68" t="s">
        <v>142</v>
      </c>
      <c r="D62" s="80">
        <v>0</v>
      </c>
      <c r="E62" s="49">
        <v>0</v>
      </c>
      <c r="F62" s="49">
        <v>0</v>
      </c>
      <c r="G62" s="49">
        <v>0</v>
      </c>
      <c r="H62" s="49">
        <v>0</v>
      </c>
      <c r="I62" s="49">
        <v>0</v>
      </c>
      <c r="J62" s="49">
        <v>0</v>
      </c>
      <c r="K62" s="49">
        <v>0</v>
      </c>
      <c r="L62" s="49">
        <v>0</v>
      </c>
      <c r="M62" s="56">
        <v>0</v>
      </c>
      <c r="N62" s="56">
        <v>0</v>
      </c>
      <c r="O62" s="56">
        <v>0</v>
      </c>
      <c r="P62" s="56">
        <v>0</v>
      </c>
      <c r="Q62" s="56">
        <v>0</v>
      </c>
      <c r="R62" s="56">
        <v>0</v>
      </c>
      <c r="S62" s="56">
        <v>0</v>
      </c>
      <c r="T62" s="82">
        <v>0</v>
      </c>
    </row>
    <row r="63" spans="1:20" ht="12.75" customHeight="1" thickBot="1" x14ac:dyDescent="0.3">
      <c r="A63" s="25">
        <f>IF(INDEX(D63:T63,1,MATCH(Uncertainties_estimation!J$6,D$35:T$35,0))&gt;0,A62+1,A62)</f>
        <v>2</v>
      </c>
      <c r="B63" s="134" t="s">
        <v>196</v>
      </c>
      <c r="C63" s="133" t="s">
        <v>169</v>
      </c>
      <c r="D63" s="131">
        <v>0</v>
      </c>
      <c r="E63" s="132">
        <v>1</v>
      </c>
      <c r="F63" s="83">
        <v>0</v>
      </c>
      <c r="G63" s="83">
        <v>0</v>
      </c>
      <c r="H63" s="83">
        <v>0</v>
      </c>
      <c r="I63" s="83">
        <v>1</v>
      </c>
      <c r="J63" s="83">
        <v>1</v>
      </c>
      <c r="K63" s="83">
        <v>1</v>
      </c>
      <c r="L63" s="83">
        <v>1</v>
      </c>
      <c r="M63" s="84">
        <v>0</v>
      </c>
      <c r="N63" s="84">
        <v>0</v>
      </c>
      <c r="O63" s="84">
        <v>0</v>
      </c>
      <c r="P63" s="84">
        <v>0</v>
      </c>
      <c r="Q63" s="84">
        <v>0</v>
      </c>
      <c r="R63" s="84">
        <v>0</v>
      </c>
      <c r="S63" s="84">
        <v>0</v>
      </c>
      <c r="T63" s="85">
        <v>0</v>
      </c>
    </row>
    <row r="64" spans="1:20" ht="12.75" customHeight="1" x14ac:dyDescent="0.25">
      <c r="C64" s="1"/>
      <c r="D64" s="1"/>
    </row>
    <row r="65" s="1" customFormat="1" x14ac:dyDescent="0.25"/>
    <row r="66" s="1" customFormat="1" x14ac:dyDescent="0.25"/>
    <row r="67" s="1" customFormat="1" x14ac:dyDescent="0.25"/>
    <row r="68" s="1" customFormat="1" x14ac:dyDescent="0.25"/>
    <row r="69" s="1" customFormat="1" x14ac:dyDescent="0.25"/>
  </sheetData>
  <mergeCells count="25">
    <mergeCell ref="K8:M8"/>
    <mergeCell ref="K9:M9"/>
    <mergeCell ref="K10:M10"/>
    <mergeCell ref="K6:M6"/>
    <mergeCell ref="C2:G2"/>
    <mergeCell ref="J2:M2"/>
    <mergeCell ref="B3:C3"/>
    <mergeCell ref="K4:M4"/>
    <mergeCell ref="K5:M5"/>
    <mergeCell ref="D36:T36"/>
    <mergeCell ref="O34:T34"/>
    <mergeCell ref="D34:N34"/>
    <mergeCell ref="K31:M31"/>
    <mergeCell ref="K11:M11"/>
    <mergeCell ref="K12:M12"/>
    <mergeCell ref="K29:M29"/>
    <mergeCell ref="K30:M30"/>
    <mergeCell ref="K28:M28"/>
    <mergeCell ref="K25:M25"/>
    <mergeCell ref="K19:M19"/>
    <mergeCell ref="K13:M13"/>
    <mergeCell ref="K14:M14"/>
    <mergeCell ref="K15:M15"/>
    <mergeCell ref="K23:M23"/>
    <mergeCell ref="K24:M24"/>
  </mergeCells>
  <phoneticPr fontId="33" type="noConversion"/>
  <printOptions horizontalCentered="1" verticalCentered="1"/>
  <pageMargins left="0.23622047244094491" right="0.23622047244094491" top="0.74803149606299213" bottom="0.74803149606299213" header="0.31496062992125984" footer="0.31496062992125984"/>
  <pageSetup paperSize="9" scale="70" fitToWidth="0" fitToHeight="0" orientation="landscape" r:id="rId1"/>
  <headerFooter alignWithMargins="0">
    <oddHeader>&amp;C&amp;F</oddHeader>
    <oddFooter>&amp;CPage &amp;P de &amp;N</oddFooter>
    <evenHeader>&amp;C&amp;F</evenHeader>
    <evenFooter>&amp;CPage &amp;P de &amp;N</evenFooter>
    <firstHeader>&amp;C&amp;F</firstHeader>
    <firstFooter>&amp;CPage &amp;P de &amp;N</firstFooter>
  </headerFooter>
  <rowBreaks count="1" manualBreakCount="1">
    <brk id="7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F4326-A895-4D16-83CB-2F672AF43CF8}">
  <sheetPr codeName="Feuil4">
    <pageSetUpPr fitToPage="1"/>
  </sheetPr>
  <dimension ref="B1:S35"/>
  <sheetViews>
    <sheetView workbookViewId="0">
      <selection activeCell="E19" sqref="E19"/>
    </sheetView>
  </sheetViews>
  <sheetFormatPr defaultColWidth="10.81640625" defaultRowHeight="14.5" x14ac:dyDescent="0.35"/>
  <cols>
    <col min="2" max="2" width="17.54296875" customWidth="1"/>
    <col min="3" max="18" width="15.7265625" customWidth="1"/>
  </cols>
  <sheetData>
    <row r="1" spans="2:19" ht="15" thickBot="1" x14ac:dyDescent="0.4"/>
    <row r="2" spans="2:19" ht="37.5" customHeight="1" thickBot="1" x14ac:dyDescent="0.45">
      <c r="B2" s="178" t="s">
        <v>247</v>
      </c>
      <c r="C2" s="178"/>
      <c r="D2" s="178"/>
      <c r="E2" s="178"/>
      <c r="F2" s="178"/>
      <c r="G2" s="217"/>
      <c r="H2" s="179" t="s">
        <v>246</v>
      </c>
      <c r="I2" s="180"/>
      <c r="J2" s="180"/>
      <c r="K2" s="181"/>
    </row>
    <row r="5" spans="2:19" ht="15" thickBot="1" x14ac:dyDescent="0.4">
      <c r="B5" t="s">
        <v>76</v>
      </c>
      <c r="D5" t="s">
        <v>77</v>
      </c>
      <c r="H5" t="s">
        <v>78</v>
      </c>
    </row>
    <row r="6" spans="2:19" ht="15" thickBot="1" x14ac:dyDescent="0.4">
      <c r="B6" s="28" t="s">
        <v>53</v>
      </c>
      <c r="D6" s="34" t="s">
        <v>22</v>
      </c>
      <c r="E6" s="35" t="s">
        <v>23</v>
      </c>
      <c r="F6" s="36" t="s">
        <v>24</v>
      </c>
      <c r="H6" s="34" t="s">
        <v>22</v>
      </c>
      <c r="I6" s="35" t="s">
        <v>23</v>
      </c>
      <c r="J6" s="36" t="s">
        <v>24</v>
      </c>
    </row>
    <row r="7" spans="2:19" ht="16.5" x14ac:dyDescent="0.45">
      <c r="B7" s="26" t="s">
        <v>22</v>
      </c>
      <c r="D7" s="29" t="s">
        <v>5</v>
      </c>
      <c r="E7" t="s">
        <v>0</v>
      </c>
      <c r="F7" s="30" t="s">
        <v>50</v>
      </c>
      <c r="H7" s="29" t="s">
        <v>58</v>
      </c>
      <c r="I7" t="s">
        <v>56</v>
      </c>
      <c r="J7" s="30" t="s">
        <v>56</v>
      </c>
    </row>
    <row r="8" spans="2:19" ht="16.5" x14ac:dyDescent="0.45">
      <c r="B8" s="26" t="s">
        <v>23</v>
      </c>
      <c r="D8" s="29" t="s">
        <v>6</v>
      </c>
      <c r="E8" t="s">
        <v>10</v>
      </c>
      <c r="F8" s="30" t="s">
        <v>197</v>
      </c>
      <c r="H8" s="29" t="s">
        <v>63</v>
      </c>
      <c r="I8" t="s">
        <v>234</v>
      </c>
      <c r="J8" s="30" t="s">
        <v>234</v>
      </c>
    </row>
    <row r="9" spans="2:19" ht="17" thickBot="1" x14ac:dyDescent="0.5">
      <c r="B9" s="27" t="s">
        <v>24</v>
      </c>
      <c r="D9" s="29" t="s">
        <v>7</v>
      </c>
      <c r="E9" t="s">
        <v>1</v>
      </c>
      <c r="F9" s="30" t="s">
        <v>51</v>
      </c>
      <c r="H9" s="29" t="s">
        <v>64</v>
      </c>
      <c r="I9" t="s">
        <v>61</v>
      </c>
      <c r="J9" s="30" t="s">
        <v>61</v>
      </c>
    </row>
    <row r="10" spans="2:19" ht="16.5" x14ac:dyDescent="0.45">
      <c r="D10" s="29" t="s">
        <v>188</v>
      </c>
      <c r="E10" t="s">
        <v>187</v>
      </c>
      <c r="F10" s="30" t="s">
        <v>52</v>
      </c>
      <c r="H10" s="29" t="s">
        <v>65</v>
      </c>
      <c r="I10" t="s">
        <v>57</v>
      </c>
      <c r="J10" s="30" t="s">
        <v>57</v>
      </c>
    </row>
    <row r="11" spans="2:19" ht="16.5" x14ac:dyDescent="0.45">
      <c r="D11" s="29" t="s">
        <v>8</v>
      </c>
      <c r="E11" t="s">
        <v>2</v>
      </c>
      <c r="F11" s="30"/>
      <c r="H11" s="29" t="s">
        <v>66</v>
      </c>
      <c r="I11" t="s">
        <v>237</v>
      </c>
      <c r="J11" s="30" t="s">
        <v>237</v>
      </c>
    </row>
    <row r="12" spans="2:19" ht="16.5" x14ac:dyDescent="0.45">
      <c r="D12" s="29" t="s">
        <v>9</v>
      </c>
      <c r="E12" t="s">
        <v>3</v>
      </c>
      <c r="F12" s="30"/>
      <c r="H12" s="29" t="s">
        <v>54</v>
      </c>
      <c r="I12" t="s">
        <v>67</v>
      </c>
      <c r="J12" s="30" t="s">
        <v>67</v>
      </c>
    </row>
    <row r="13" spans="2:19" ht="15" thickBot="1" x14ac:dyDescent="0.4">
      <c r="D13" s="31"/>
      <c r="E13" s="32" t="s">
        <v>4</v>
      </c>
      <c r="F13" s="33"/>
      <c r="H13" s="31"/>
      <c r="I13" s="32" t="s">
        <v>62</v>
      </c>
      <c r="J13" s="33" t="s">
        <v>62</v>
      </c>
    </row>
    <row r="15" spans="2:19" ht="15" thickBot="1" x14ac:dyDescent="0.4">
      <c r="B15" t="s">
        <v>79</v>
      </c>
    </row>
    <row r="16" spans="2:19" ht="30" customHeight="1" thickBot="1" x14ac:dyDescent="0.4">
      <c r="B16" s="34"/>
      <c r="C16" s="39" t="s">
        <v>0</v>
      </c>
      <c r="D16" s="39" t="s">
        <v>10</v>
      </c>
      <c r="E16" s="39" t="s">
        <v>1</v>
      </c>
      <c r="F16" s="39" t="s">
        <v>2</v>
      </c>
      <c r="G16" s="39" t="s">
        <v>187</v>
      </c>
      <c r="H16" s="39" t="s">
        <v>50</v>
      </c>
      <c r="I16" s="39" t="s">
        <v>197</v>
      </c>
      <c r="J16" s="39" t="s">
        <v>51</v>
      </c>
      <c r="K16" s="39" t="s">
        <v>52</v>
      </c>
      <c r="L16" s="39" t="s">
        <v>3</v>
      </c>
      <c r="M16" s="39" t="s">
        <v>4</v>
      </c>
      <c r="N16" s="39" t="s">
        <v>5</v>
      </c>
      <c r="O16" s="39" t="s">
        <v>6</v>
      </c>
      <c r="P16" s="39" t="s">
        <v>7</v>
      </c>
      <c r="Q16" s="39" t="s">
        <v>189</v>
      </c>
      <c r="R16" s="39" t="s">
        <v>8</v>
      </c>
      <c r="S16" s="40" t="s">
        <v>9</v>
      </c>
    </row>
    <row r="17" spans="2:19" ht="44.25" customHeight="1" x14ac:dyDescent="0.35">
      <c r="B17" s="29"/>
      <c r="C17" s="37" t="s">
        <v>193</v>
      </c>
      <c r="D17" s="37" t="s">
        <v>18</v>
      </c>
      <c r="E17" s="37" t="s">
        <v>278</v>
      </c>
      <c r="F17" s="37" t="s">
        <v>192</v>
      </c>
      <c r="G17" s="37" t="s">
        <v>190</v>
      </c>
      <c r="H17" s="37" t="s">
        <v>191</v>
      </c>
      <c r="I17" s="37" t="s">
        <v>198</v>
      </c>
      <c r="J17" s="37" t="s">
        <v>19</v>
      </c>
      <c r="K17" s="37" t="s">
        <v>20</v>
      </c>
      <c r="L17" s="37"/>
      <c r="M17" s="37" t="s">
        <v>21</v>
      </c>
      <c r="N17" s="37" t="s">
        <v>21</v>
      </c>
      <c r="O17" s="37" t="s">
        <v>21</v>
      </c>
      <c r="P17" s="37"/>
      <c r="Q17" s="37"/>
      <c r="R17" s="37"/>
      <c r="S17" s="38"/>
    </row>
    <row r="18" spans="2:19" ht="15" customHeight="1" x14ac:dyDescent="0.35">
      <c r="B18" s="29" t="s">
        <v>59</v>
      </c>
      <c r="C18" s="37" t="s">
        <v>60</v>
      </c>
      <c r="D18" s="37" t="s">
        <v>60</v>
      </c>
      <c r="E18" s="37" t="s">
        <v>60</v>
      </c>
      <c r="F18" s="37" t="s">
        <v>60</v>
      </c>
      <c r="G18" s="37" t="s">
        <v>60</v>
      </c>
      <c r="H18" s="37" t="s">
        <v>50</v>
      </c>
      <c r="I18" s="37" t="s">
        <v>50</v>
      </c>
      <c r="J18" s="37" t="s">
        <v>50</v>
      </c>
      <c r="K18" s="37" t="s">
        <v>50</v>
      </c>
      <c r="L18" s="37" t="s">
        <v>60</v>
      </c>
      <c r="M18" s="37" t="s">
        <v>60</v>
      </c>
      <c r="N18" s="37" t="s">
        <v>60</v>
      </c>
      <c r="O18" s="37" t="s">
        <v>60</v>
      </c>
      <c r="P18" s="37" t="s">
        <v>60</v>
      </c>
      <c r="Q18" s="37" t="s">
        <v>60</v>
      </c>
      <c r="R18" s="37" t="s">
        <v>60</v>
      </c>
      <c r="S18" s="38" t="s">
        <v>60</v>
      </c>
    </row>
    <row r="19" spans="2:19" x14ac:dyDescent="0.35">
      <c r="B19" s="29" t="s">
        <v>12</v>
      </c>
      <c r="C19" t="s">
        <v>16</v>
      </c>
      <c r="D19" t="s">
        <v>16</v>
      </c>
      <c r="E19" t="s">
        <v>16</v>
      </c>
      <c r="F19" t="s">
        <v>16</v>
      </c>
      <c r="G19" t="s">
        <v>16</v>
      </c>
      <c r="H19" t="s">
        <v>17</v>
      </c>
      <c r="I19" t="s">
        <v>17</v>
      </c>
      <c r="J19" t="s">
        <v>17</v>
      </c>
      <c r="K19" t="s">
        <v>17</v>
      </c>
      <c r="L19" t="s">
        <v>16</v>
      </c>
      <c r="M19" t="s">
        <v>16</v>
      </c>
      <c r="N19" t="s">
        <v>16</v>
      </c>
      <c r="O19" t="s">
        <v>16</v>
      </c>
      <c r="P19" t="s">
        <v>16</v>
      </c>
      <c r="Q19" t="s">
        <v>16</v>
      </c>
      <c r="R19" t="s">
        <v>16</v>
      </c>
      <c r="S19" s="30" t="s">
        <v>16</v>
      </c>
    </row>
    <row r="20" spans="2:19" x14ac:dyDescent="0.35">
      <c r="B20" s="29" t="s">
        <v>11</v>
      </c>
      <c r="C20" t="s">
        <v>17</v>
      </c>
      <c r="D20" t="s">
        <v>16</v>
      </c>
      <c r="E20" t="s">
        <v>17</v>
      </c>
      <c r="F20" t="s">
        <v>17</v>
      </c>
      <c r="G20" t="s">
        <v>17</v>
      </c>
      <c r="H20" t="s">
        <v>17</v>
      </c>
      <c r="I20" t="s">
        <v>17</v>
      </c>
      <c r="J20" t="s">
        <v>16</v>
      </c>
      <c r="K20" t="s">
        <v>16</v>
      </c>
      <c r="L20" t="s">
        <v>17</v>
      </c>
      <c r="M20" t="s">
        <v>17</v>
      </c>
      <c r="N20" t="s">
        <v>17</v>
      </c>
      <c r="O20" t="s">
        <v>17</v>
      </c>
      <c r="P20" t="s">
        <v>17</v>
      </c>
      <c r="Q20" t="s">
        <v>17</v>
      </c>
      <c r="R20" t="s">
        <v>17</v>
      </c>
      <c r="S20" s="30" t="s">
        <v>17</v>
      </c>
    </row>
    <row r="21" spans="2:19" x14ac:dyDescent="0.35">
      <c r="B21" s="29" t="s">
        <v>201</v>
      </c>
      <c r="C21" t="s">
        <v>201</v>
      </c>
      <c r="D21" t="s">
        <v>201</v>
      </c>
      <c r="E21" t="s">
        <v>201</v>
      </c>
      <c r="F21" t="s">
        <v>201</v>
      </c>
      <c r="G21" t="s">
        <v>201</v>
      </c>
      <c r="H21" t="s">
        <v>50</v>
      </c>
      <c r="I21" t="s">
        <v>50</v>
      </c>
      <c r="J21" t="s">
        <v>50</v>
      </c>
      <c r="K21" t="s">
        <v>50</v>
      </c>
      <c r="L21" t="s">
        <v>201</v>
      </c>
      <c r="M21" t="s">
        <v>201</v>
      </c>
      <c r="N21" t="s">
        <v>201</v>
      </c>
      <c r="O21" t="s">
        <v>201</v>
      </c>
      <c r="P21" t="s">
        <v>201</v>
      </c>
      <c r="Q21" t="s">
        <v>201</v>
      </c>
      <c r="R21" t="s">
        <v>201</v>
      </c>
      <c r="S21" s="30" t="s">
        <v>201</v>
      </c>
    </row>
    <row r="22" spans="2:19" x14ac:dyDescent="0.35">
      <c r="B22" s="29" t="s">
        <v>14</v>
      </c>
      <c r="C22">
        <v>1285</v>
      </c>
      <c r="D22">
        <v>1285</v>
      </c>
      <c r="E22">
        <v>1285</v>
      </c>
      <c r="F22">
        <v>1285</v>
      </c>
      <c r="G22">
        <v>1285</v>
      </c>
      <c r="H22">
        <v>1285</v>
      </c>
      <c r="I22">
        <v>1285</v>
      </c>
      <c r="J22">
        <v>1285</v>
      </c>
      <c r="K22">
        <v>1610</v>
      </c>
      <c r="L22">
        <v>1285</v>
      </c>
      <c r="M22">
        <v>1285</v>
      </c>
      <c r="N22">
        <v>800</v>
      </c>
      <c r="O22">
        <v>800</v>
      </c>
      <c r="P22">
        <v>800</v>
      </c>
      <c r="Q22">
        <v>800</v>
      </c>
      <c r="R22">
        <v>800</v>
      </c>
      <c r="S22" s="30">
        <v>800</v>
      </c>
    </row>
    <row r="23" spans="2:19" x14ac:dyDescent="0.35">
      <c r="B23" s="29" t="s">
        <v>15</v>
      </c>
      <c r="C23">
        <v>1675</v>
      </c>
      <c r="D23">
        <v>1675</v>
      </c>
      <c r="E23">
        <v>1675</v>
      </c>
      <c r="F23">
        <v>1675</v>
      </c>
      <c r="G23">
        <v>1675</v>
      </c>
      <c r="H23">
        <v>1675</v>
      </c>
      <c r="I23">
        <v>1675</v>
      </c>
      <c r="J23">
        <v>1675</v>
      </c>
      <c r="K23">
        <v>1675</v>
      </c>
      <c r="L23">
        <v>1675</v>
      </c>
      <c r="M23">
        <v>1675</v>
      </c>
      <c r="N23">
        <v>1350</v>
      </c>
      <c r="O23">
        <v>1350</v>
      </c>
      <c r="P23">
        <v>1350</v>
      </c>
      <c r="Q23">
        <v>1350</v>
      </c>
      <c r="R23">
        <v>1350</v>
      </c>
      <c r="S23" s="30">
        <v>1350</v>
      </c>
    </row>
    <row r="24" spans="2:19" x14ac:dyDescent="0.35">
      <c r="B24" s="29" t="s">
        <v>274</v>
      </c>
      <c r="C24">
        <v>30</v>
      </c>
      <c r="D24">
        <v>30</v>
      </c>
      <c r="E24">
        <v>30</v>
      </c>
      <c r="F24">
        <v>30</v>
      </c>
      <c r="G24">
        <v>30</v>
      </c>
      <c r="H24">
        <v>30</v>
      </c>
      <c r="I24">
        <v>30</v>
      </c>
      <c r="J24">
        <v>30</v>
      </c>
      <c r="K24">
        <v>30</v>
      </c>
      <c r="L24">
        <v>30</v>
      </c>
      <c r="M24">
        <v>30</v>
      </c>
      <c r="N24">
        <v>25</v>
      </c>
      <c r="O24">
        <v>25</v>
      </c>
      <c r="P24">
        <v>25</v>
      </c>
      <c r="Q24">
        <v>25</v>
      </c>
      <c r="R24">
        <v>25</v>
      </c>
      <c r="S24" s="30">
        <v>25</v>
      </c>
    </row>
    <row r="25" spans="2:19" x14ac:dyDescent="0.35">
      <c r="B25" s="29" t="s">
        <v>275</v>
      </c>
      <c r="C25" s="174">
        <v>10</v>
      </c>
      <c r="D25" s="174">
        <v>10</v>
      </c>
      <c r="E25" s="174">
        <v>10</v>
      </c>
      <c r="F25" s="174">
        <v>10</v>
      </c>
      <c r="G25" s="174">
        <v>10</v>
      </c>
      <c r="H25">
        <v>10</v>
      </c>
      <c r="I25">
        <v>10</v>
      </c>
      <c r="J25">
        <v>3</v>
      </c>
      <c r="K25">
        <v>3</v>
      </c>
      <c r="M25" s="174">
        <v>10</v>
      </c>
      <c r="N25" s="174">
        <v>10</v>
      </c>
      <c r="O25" s="174">
        <v>10</v>
      </c>
      <c r="P25" s="174">
        <v>10</v>
      </c>
      <c r="Q25" s="174">
        <v>10</v>
      </c>
      <c r="R25" s="174">
        <v>10</v>
      </c>
      <c r="S25" s="175">
        <v>10</v>
      </c>
    </row>
    <row r="26" spans="2:19" x14ac:dyDescent="0.35">
      <c r="B26" s="29" t="s">
        <v>222</v>
      </c>
      <c r="C26">
        <v>120</v>
      </c>
      <c r="D26">
        <v>50</v>
      </c>
      <c r="E26">
        <v>120</v>
      </c>
      <c r="F26">
        <v>120</v>
      </c>
      <c r="G26">
        <v>120</v>
      </c>
      <c r="H26">
        <v>120</v>
      </c>
      <c r="I26">
        <v>120</v>
      </c>
      <c r="J26">
        <v>50</v>
      </c>
      <c r="K26">
        <v>120</v>
      </c>
      <c r="L26">
        <v>120</v>
      </c>
      <c r="M26">
        <v>120</v>
      </c>
      <c r="N26">
        <v>15</v>
      </c>
      <c r="O26">
        <v>15</v>
      </c>
      <c r="P26">
        <v>15</v>
      </c>
      <c r="Q26">
        <v>15</v>
      </c>
      <c r="R26">
        <v>15</v>
      </c>
      <c r="S26" s="30">
        <v>15</v>
      </c>
    </row>
    <row r="27" spans="2:19" ht="15" thickBot="1" x14ac:dyDescent="0.4">
      <c r="B27" s="31" t="s">
        <v>13</v>
      </c>
      <c r="C27" s="32">
        <v>0.18</v>
      </c>
      <c r="D27" s="32">
        <v>0.18</v>
      </c>
      <c r="E27" s="32">
        <v>0.18</v>
      </c>
      <c r="F27" s="32">
        <v>0.18</v>
      </c>
      <c r="G27" s="32">
        <v>0.18</v>
      </c>
      <c r="H27" s="32">
        <v>0.18</v>
      </c>
      <c r="I27" s="32">
        <v>0.18</v>
      </c>
      <c r="J27" s="32">
        <v>0.18</v>
      </c>
      <c r="K27" s="32">
        <v>0.18</v>
      </c>
      <c r="L27" s="32">
        <v>0.18</v>
      </c>
      <c r="M27" s="32">
        <v>0.18</v>
      </c>
      <c r="N27" s="32">
        <v>0.3</v>
      </c>
      <c r="O27" s="32">
        <v>0.3</v>
      </c>
      <c r="P27" s="32">
        <v>0.3</v>
      </c>
      <c r="Q27" s="32">
        <v>0.3</v>
      </c>
      <c r="R27" s="32">
        <v>0.3</v>
      </c>
      <c r="S27" s="33">
        <v>0.3</v>
      </c>
    </row>
    <row r="30" spans="2:19" ht="15" thickBot="1" x14ac:dyDescent="0.4">
      <c r="B30" t="s">
        <v>80</v>
      </c>
    </row>
    <row r="31" spans="2:19" ht="30.75" customHeight="1" thickBot="1" x14ac:dyDescent="0.5">
      <c r="B31" s="167" t="s">
        <v>230</v>
      </c>
      <c r="C31" s="158" t="s">
        <v>68</v>
      </c>
      <c r="D31" s="158" t="s">
        <v>69</v>
      </c>
      <c r="E31" s="158" t="s">
        <v>70</v>
      </c>
      <c r="F31" s="158" t="s">
        <v>71</v>
      </c>
      <c r="G31" s="158" t="s">
        <v>72</v>
      </c>
      <c r="H31" s="158" t="s">
        <v>54</v>
      </c>
      <c r="I31" s="158" t="s">
        <v>73</v>
      </c>
      <c r="J31" s="158" t="s">
        <v>223</v>
      </c>
      <c r="K31" s="158" t="s">
        <v>61</v>
      </c>
      <c r="L31" s="158" t="s">
        <v>74</v>
      </c>
      <c r="M31" s="158" t="s">
        <v>224</v>
      </c>
      <c r="N31" s="158" t="s">
        <v>75</v>
      </c>
      <c r="O31" s="159" t="s">
        <v>62</v>
      </c>
      <c r="P31" s="166"/>
      <c r="Q31" s="166"/>
    </row>
    <row r="32" spans="2:19" ht="34.5" customHeight="1" x14ac:dyDescent="0.35">
      <c r="B32" s="168" t="s">
        <v>231</v>
      </c>
      <c r="C32" s="169" t="s">
        <v>244</v>
      </c>
      <c r="D32" s="169" t="s">
        <v>225</v>
      </c>
      <c r="E32" s="169" t="s">
        <v>226</v>
      </c>
      <c r="F32" s="169" t="s">
        <v>227</v>
      </c>
      <c r="G32" s="169" t="s">
        <v>228</v>
      </c>
      <c r="H32" s="169" t="s">
        <v>245</v>
      </c>
      <c r="I32" s="169" t="s">
        <v>238</v>
      </c>
      <c r="J32" s="169" t="s">
        <v>239</v>
      </c>
      <c r="K32" s="169" t="s">
        <v>240</v>
      </c>
      <c r="L32" s="169" t="s">
        <v>241</v>
      </c>
      <c r="M32" s="169" t="s">
        <v>242</v>
      </c>
      <c r="N32" s="169" t="s">
        <v>229</v>
      </c>
      <c r="O32" s="38" t="s">
        <v>243</v>
      </c>
      <c r="P32" s="166"/>
      <c r="Q32" s="166"/>
    </row>
    <row r="33" spans="2:17" x14ac:dyDescent="0.35">
      <c r="B33" s="42" t="s">
        <v>55</v>
      </c>
      <c r="C33" s="160">
        <v>0</v>
      </c>
      <c r="D33" s="160">
        <v>0</v>
      </c>
      <c r="E33" s="160">
        <v>0</v>
      </c>
      <c r="F33" s="160">
        <v>1</v>
      </c>
      <c r="G33" s="160">
        <v>0</v>
      </c>
      <c r="H33" s="160">
        <v>0</v>
      </c>
      <c r="I33" s="160">
        <v>0</v>
      </c>
      <c r="J33" s="160">
        <v>0</v>
      </c>
      <c r="K33" s="160">
        <v>0</v>
      </c>
      <c r="L33" s="160">
        <v>1</v>
      </c>
      <c r="M33" s="160">
        <v>1</v>
      </c>
      <c r="N33" s="160">
        <v>1</v>
      </c>
      <c r="O33" s="161">
        <v>1</v>
      </c>
      <c r="P33" s="43"/>
      <c r="Q33" s="43"/>
    </row>
    <row r="34" spans="2:17" ht="29" x14ac:dyDescent="0.35">
      <c r="B34" s="41" t="s">
        <v>232</v>
      </c>
      <c r="C34" s="162">
        <v>0.1</v>
      </c>
      <c r="D34" s="162">
        <v>0.15</v>
      </c>
      <c r="E34" s="162">
        <v>0.15</v>
      </c>
      <c r="F34" s="162">
        <v>0.15</v>
      </c>
      <c r="G34" s="162">
        <v>0.2</v>
      </c>
      <c r="H34" s="162">
        <v>0.75</v>
      </c>
      <c r="I34" s="162">
        <v>0.1</v>
      </c>
      <c r="J34" s="162">
        <v>0.2</v>
      </c>
      <c r="K34" s="162">
        <v>0.75</v>
      </c>
      <c r="L34" s="162">
        <v>0.1</v>
      </c>
      <c r="M34" s="162">
        <v>0.2</v>
      </c>
      <c r="N34" s="162">
        <v>0.35</v>
      </c>
      <c r="O34" s="163">
        <v>0.75</v>
      </c>
    </row>
    <row r="35" spans="2:17" ht="15" thickBot="1" x14ac:dyDescent="0.4">
      <c r="B35" s="31" t="s">
        <v>233</v>
      </c>
      <c r="C35" s="164">
        <v>0.05</v>
      </c>
      <c r="D35" s="164">
        <v>0.1</v>
      </c>
      <c r="E35" s="164">
        <v>0.1</v>
      </c>
      <c r="F35" s="164">
        <v>0.1</v>
      </c>
      <c r="G35" s="164">
        <v>0.1</v>
      </c>
      <c r="H35" s="164">
        <v>0.1</v>
      </c>
      <c r="I35" s="164">
        <v>0.05</v>
      </c>
      <c r="J35" s="164">
        <v>0.05</v>
      </c>
      <c r="K35" s="164">
        <v>0.1</v>
      </c>
      <c r="L35" s="164">
        <v>0.05</v>
      </c>
      <c r="M35" s="164">
        <v>0.05</v>
      </c>
      <c r="N35" s="164">
        <v>0.1</v>
      </c>
      <c r="O35" s="165">
        <v>0.1</v>
      </c>
    </row>
  </sheetData>
  <mergeCells count="2">
    <mergeCell ref="H2:K2"/>
    <mergeCell ref="B2:G2"/>
  </mergeCells>
  <pageMargins left="0.25" right="0.25" top="0.75" bottom="0.75" header="0.3" footer="0.3"/>
  <pageSetup paperSize="9" scale="5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B614FDC9DD8F04390EF476CD5F107AB" ma:contentTypeVersion="10" ma:contentTypeDescription="Skapa ett nytt dokument." ma:contentTypeScope="" ma:versionID="f8fb3b8d7de564488c036ff88a88237e">
  <xsd:schema xmlns:xsd="http://www.w3.org/2001/XMLSchema" xmlns:xs="http://www.w3.org/2001/XMLSchema" xmlns:p="http://schemas.microsoft.com/office/2006/metadata/properties" xmlns:ns2="8e263b46-64c6-46a1-a49c-fe8232af3636" targetNamespace="http://schemas.microsoft.com/office/2006/metadata/properties" ma:root="true" ma:fieldsID="12fd6998ec355ef7bc2d185f3ffe1138" ns2:_="">
    <xsd:import namespace="8e263b46-64c6-46a1-a49c-fe8232af363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63b46-64c6-46a1-a49c-fe8232af36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markeringar" ma:readOnly="false" ma:fieldId="{5cf76f15-5ced-4ddc-b409-7134ff3c332f}" ma:taxonomyMulti="true" ma:sspId="e2bc398e-80d4-4dbb-8907-3ae74bc7c01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263b46-64c6-46a1-a49c-fe8232af363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230B3C-C83A-42D7-9389-21CDD04C4F3B}"/>
</file>

<file path=customXml/itemProps2.xml><?xml version="1.0" encoding="utf-8"?>
<ds:datastoreItem xmlns:ds="http://schemas.openxmlformats.org/officeDocument/2006/customXml" ds:itemID="{0E2D87C7-5582-4645-B4F5-E03A163AB780}"/>
</file>

<file path=customXml/itemProps3.xml><?xml version="1.0" encoding="utf-8"?>
<ds:datastoreItem xmlns:ds="http://schemas.openxmlformats.org/officeDocument/2006/customXml" ds:itemID="{2A361F04-FA90-42CD-99BA-F0E133251C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Guidance</vt:lpstr>
      <vt:lpstr>Uncertainties_estimation</vt:lpstr>
      <vt:lpstr>Uncertainties_sources</vt:lpstr>
      <vt:lpstr>Setup_tables</vt:lpstr>
      <vt:lpstr>LSPM_MM</vt:lpstr>
      <vt:lpstr>LSPM_SM</vt:lpstr>
      <vt:lpstr>LSPMMM</vt:lpstr>
      <vt:lpstr>LSPMSM</vt:lpstr>
      <vt:lpstr>OTDR_SM</vt:lpstr>
      <vt:lpstr>OTDRSM</vt:lpstr>
      <vt:lpstr>Guidance!Print_Area</vt:lpstr>
      <vt:lpstr>Uncertainties_estimation!Print_Area</vt:lpstr>
      <vt:lpstr>Uncertainties_sources!Print_Area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BOUQUAIN</dc:creator>
  <cp:lastModifiedBy>Song, Sarah</cp:lastModifiedBy>
  <cp:lastPrinted>2023-02-24T16:37:35Z</cp:lastPrinted>
  <dcterms:created xsi:type="dcterms:W3CDTF">2022-11-08T18:49:55Z</dcterms:created>
  <dcterms:modified xsi:type="dcterms:W3CDTF">2024-04-15T14:05:58Z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0x0101008B614FDC9DD8F04390EF476CD5F107AB</vt:lpwstr>
  </property>
</Properties>
</file>